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es\Documents\TBL Workload\Projects\Field Stewards CIG\Final Report\Final Package of Materials\Farm and Buyer Linkage\"/>
    </mc:Choice>
  </mc:AlternateContent>
  <xr:revisionPtr revIDLastSave="0" documentId="8_{1EDCBE60-4E00-4D02-9491-925CF306ABC3}" xr6:coauthVersionLast="45" xr6:coauthVersionMax="45" xr10:uidLastSave="{00000000-0000-0000-0000-000000000000}"/>
  <bookViews>
    <workbookView xWindow="5160" yWindow="585" windowWidth="20760" windowHeight="14355" activeTab="1" xr2:uid="{40B89370-355A-4292-BB1F-E2F7AA340CCA}"/>
  </bookViews>
  <sheets>
    <sheet name="Farm Trans Total Cost by acre" sheetId="1" r:id="rId1"/>
    <sheet name="Total Premium Brand Offset Cos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2" l="1"/>
  <c r="E16" i="2" s="1"/>
  <c r="E32" i="2"/>
  <c r="E33" i="2" s="1"/>
  <c r="F35" i="2" s="1"/>
  <c r="F24" i="2"/>
  <c r="H23" i="2" s="1"/>
  <c r="J37" i="2" s="1"/>
  <c r="O10" i="2"/>
  <c r="O9" i="2"/>
  <c r="C8" i="2"/>
  <c r="D8" i="2" s="1"/>
  <c r="L5" i="1"/>
  <c r="Q23" i="1" s="1"/>
  <c r="F8" i="2" l="1"/>
  <c r="C12" i="2" s="1"/>
  <c r="E8" i="2"/>
  <c r="B12" i="2" s="1"/>
  <c r="G8" i="2"/>
  <c r="R23" i="1"/>
  <c r="O29" i="1"/>
  <c r="R29" i="1" s="1"/>
  <c r="N29" i="1"/>
  <c r="Q29" i="1" s="1"/>
  <c r="Q11" i="1"/>
  <c r="J19" i="1"/>
  <c r="I19" i="1"/>
  <c r="P11" i="1" s="1"/>
  <c r="J12" i="1"/>
  <c r="I12" i="1"/>
  <c r="P10" i="1" s="1"/>
  <c r="N31" i="1" l="1"/>
  <c r="D12" i="2"/>
  <c r="E12" i="2"/>
  <c r="G12" i="2" s="1"/>
  <c r="Q10" i="1"/>
  <c r="O31" i="1" s="1"/>
  <c r="P9" i="1"/>
  <c r="Q9" i="1"/>
  <c r="H37" i="2" l="1"/>
  <c r="F12" i="2"/>
  <c r="J8" i="1"/>
  <c r="I8" i="1"/>
  <c r="P8" i="1" l="1"/>
  <c r="P17" i="1" s="1"/>
  <c r="N32" i="1" s="1"/>
  <c r="I21" i="1"/>
  <c r="Q30" i="1" s="1"/>
  <c r="Q8" i="1"/>
  <c r="Q17" i="1" s="1"/>
  <c r="J21" i="1"/>
  <c r="F15" i="2"/>
  <c r="G15" i="2" s="1"/>
  <c r="Q32" i="1"/>
  <c r="N30" i="1"/>
  <c r="O30" i="1"/>
  <c r="O32" i="1"/>
  <c r="R32" i="1" s="1"/>
  <c r="R30" i="1" l="1"/>
  <c r="F16" i="2"/>
  <c r="O34" i="1"/>
  <c r="R34" i="1" s="1"/>
  <c r="N34" i="1"/>
  <c r="Q34" i="1" s="1"/>
  <c r="Q35" i="1" l="1"/>
  <c r="Q36" i="1" s="1"/>
  <c r="Q38" i="1" s="1"/>
  <c r="Q40" i="1" s="1"/>
  <c r="R35" i="1"/>
  <c r="R36" i="1" s="1"/>
  <c r="R38" i="1" s="1"/>
  <c r="R40" i="1" s="1"/>
  <c r="F18" i="2"/>
  <c r="F26" i="2" s="1"/>
  <c r="G16" i="2"/>
  <c r="G18" i="2" s="1"/>
  <c r="G26" i="2" s="1"/>
</calcChain>
</file>

<file path=xl/sharedStrings.xml><?xml version="1.0" encoding="utf-8"?>
<sst xmlns="http://schemas.openxmlformats.org/spreadsheetml/2006/main" count="102" uniqueCount="87">
  <si>
    <t>Technical Service Provider as an Aggregator</t>
  </si>
  <si>
    <t>Application</t>
  </si>
  <si>
    <t>Administrator</t>
  </si>
  <si>
    <t>Third Party Verifier</t>
  </si>
  <si>
    <t xml:space="preserve">Average Number of Farm Acres </t>
  </si>
  <si>
    <t>Corn</t>
  </si>
  <si>
    <t>Soybean</t>
  </si>
  <si>
    <t>Total</t>
  </si>
  <si>
    <t xml:space="preserve">Aggregator </t>
  </si>
  <si>
    <t>Aggregator Support</t>
  </si>
  <si>
    <t>Low</t>
  </si>
  <si>
    <t>High</t>
  </si>
  <si>
    <t>Application cost/acre:</t>
  </si>
  <si>
    <t>Pay Range</t>
  </si>
  <si>
    <t>Per Farm Hours</t>
  </si>
  <si>
    <t>Farmer Annual Payments:</t>
  </si>
  <si>
    <t>Year 1</t>
  </si>
  <si>
    <t>Year 2</t>
  </si>
  <si>
    <t>Year 3</t>
  </si>
  <si>
    <t>Year 4</t>
  </si>
  <si>
    <t>Year 5</t>
  </si>
  <si>
    <t>Per Farm Start Up Cost</t>
  </si>
  <si>
    <t>Per Acre Start Up Cost</t>
  </si>
  <si>
    <t>Farmer Per Acre Payments Over a 5-year Contract:</t>
  </si>
  <si>
    <t>Farm Eligibility Start Up  Cost per acre:</t>
  </si>
  <si>
    <t>Random Audit Cost per acre:</t>
  </si>
  <si>
    <t>Operation Change / Adjustment (one time) per acre:</t>
  </si>
  <si>
    <t>Annual / Acre payment</t>
  </si>
  <si>
    <t>w/o Inflation or interest</t>
  </si>
  <si>
    <t>Field Stewards Certification Transaction Cost for Field Certification*</t>
  </si>
  <si>
    <t>*In Minnesota, MDA's Minnesota Agricultural Water Quality Certification program covers audit costs.</t>
  </si>
  <si>
    <t>Enter Input Data Generated in the Chicken Offset Feed Information Calculator</t>
  </si>
  <si>
    <t>Example: Sold 25,000,000 lbs (308 Ross- All Natural)</t>
  </si>
  <si>
    <t>Amount on Market</t>
  </si>
  <si>
    <t>Divided by Weight on an Individual Chicken (4.51)</t>
  </si>
  <si>
    <t>Multiplied by lbs of feed required per chicken (7.63)</t>
  </si>
  <si>
    <t>Soybean Portion of Feed Requirement in lbs</t>
  </si>
  <si>
    <t>Other Portion of Feed Requirement in lbs</t>
  </si>
  <si>
    <t>Number of Corn Bushels Required for Feed Offset (lbs required divided by lbs per bushel of shelled corn)</t>
  </si>
  <si>
    <t>Soybean Bushels Required for Feed Offset (lbs required divided by lbs per bushel of soybeans)</t>
  </si>
  <si>
    <t>Number of Corn Acres Required Based on Bushels (Stearns)</t>
  </si>
  <si>
    <t>Number of Soybean Acres Required Based on Bushels (Stearns)</t>
  </si>
  <si>
    <t>Corn Assurance with Buffer (additional 10%)</t>
  </si>
  <si>
    <t>Soybean Assurance with Buffer (additional 10%)</t>
  </si>
  <si>
    <t>Enter Crop Yield from Selected Counties of Interest</t>
  </si>
  <si>
    <t>1st County</t>
  </si>
  <si>
    <t>Name:</t>
  </si>
  <si>
    <t>5-year Yield Ave for Soybean:</t>
  </si>
  <si>
    <t>5-year Yield Ave for Corn:</t>
  </si>
  <si>
    <t>Stearns</t>
  </si>
  <si>
    <t>2nd County</t>
  </si>
  <si>
    <t>3rd County</t>
  </si>
  <si>
    <t>4th County</t>
  </si>
  <si>
    <t>5th County</t>
  </si>
  <si>
    <t>Kandiyohi</t>
  </si>
  <si>
    <t>Meeker</t>
  </si>
  <si>
    <t>County Average</t>
  </si>
  <si>
    <t xml:space="preserve">Per Acre Selected Payment </t>
  </si>
  <si>
    <t>Cost per Packaged Product</t>
  </si>
  <si>
    <t>Average Weight of a Unit of Packaged Meat:</t>
  </si>
  <si>
    <t>Total of All packaged Meat on Market:</t>
  </si>
  <si>
    <t>5-Year Contract</t>
  </si>
  <si>
    <t>1-Year Contract</t>
  </si>
  <si>
    <t>Total Certified Offset Cost:</t>
  </si>
  <si>
    <t>Pounds</t>
  </si>
  <si>
    <t>Total Cost of Supply Chain Sustainability per Unit at Sale (Packaged Meat Item):</t>
  </si>
  <si>
    <t>According to World Atlas in 2017 an average American at 48.8 Kg of Chicken</t>
  </si>
  <si>
    <t>https://www.worldatlas.com › articles › meat-consumption-in-america</t>
  </si>
  <si>
    <t xml:space="preserve">kgs = </t>
  </si>
  <si>
    <t>lbs</t>
  </si>
  <si>
    <t>A family of 4 eats:</t>
  </si>
  <si>
    <t xml:space="preserve">If the Poultry Meat Processors raised each unit for sale 1¢ </t>
  </si>
  <si>
    <t xml:space="preserve">The average family would pay an extra </t>
  </si>
  <si>
    <t>a year for premium brand environmentally sustainable chicken.</t>
  </si>
  <si>
    <t>Audits</t>
  </si>
  <si>
    <t>Administrator Cost</t>
  </si>
  <si>
    <t>10% Direct Overhead</t>
  </si>
  <si>
    <t>acres, and make</t>
  </si>
  <si>
    <t>Approximately Meat Packages per Year</t>
  </si>
  <si>
    <t>Corn Portion of Feed Requirement in lbs</t>
  </si>
  <si>
    <t>Field Stewards 10% Administration Fee</t>
  </si>
  <si>
    <t>Program Administration Costs</t>
  </si>
  <si>
    <t xml:space="preserve">in additional Revenue </t>
  </si>
  <si>
    <t>If Consumers Supported this approach, the company would incentivize conservation on</t>
  </si>
  <si>
    <t>Total Verification Costs:</t>
  </si>
  <si>
    <t>Field Stewards Administrator Direct Overhead:</t>
  </si>
  <si>
    <t>Annual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</si>
</sst>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E0666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980000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7">
    <xf numFmtId="0" fontId="0" fillId="0" borderId="0" xfId="0"/>
    <xf numFmtId="8" fontId="0" fillId="0" borderId="0" xfId="0" applyNumberFormat="1"/>
    <xf numFmtId="44" fontId="0" fillId="0" borderId="0" xfId="1" applyFont="1"/>
    <xf numFmtId="4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right"/>
    </xf>
    <xf numFmtId="44" fontId="2" fillId="0" borderId="0" xfId="1" applyFont="1"/>
    <xf numFmtId="0" fontId="2" fillId="0" borderId="2" xfId="0" applyFont="1" applyBorder="1"/>
    <xf numFmtId="0" fontId="2" fillId="0" borderId="3" xfId="0" applyFont="1" applyBorder="1"/>
    <xf numFmtId="44" fontId="2" fillId="0" borderId="3" xfId="1" applyFont="1" applyBorder="1"/>
    <xf numFmtId="44" fontId="2" fillId="0" borderId="4" xfId="1" applyFont="1" applyBorder="1"/>
    <xf numFmtId="0" fontId="2" fillId="0" borderId="5" xfId="0" applyFont="1" applyBorder="1"/>
    <xf numFmtId="0" fontId="2" fillId="0" borderId="6" xfId="0" applyFont="1" applyBorder="1"/>
    <xf numFmtId="44" fontId="2" fillId="0" borderId="6" xfId="1" applyFont="1" applyBorder="1"/>
    <xf numFmtId="44" fontId="2" fillId="0" borderId="7" xfId="1" applyFont="1" applyBorder="1"/>
    <xf numFmtId="0" fontId="2" fillId="0" borderId="0" xfId="0" applyFont="1" applyAlignment="1">
      <alignment horizontal="left"/>
    </xf>
    <xf numFmtId="44" fontId="2" fillId="0" borderId="0" xfId="0" applyNumberFormat="1" applyFont="1"/>
    <xf numFmtId="0" fontId="0" fillId="0" borderId="5" xfId="0" applyBorder="1"/>
    <xf numFmtId="0" fontId="0" fillId="0" borderId="7" xfId="0" applyBorder="1"/>
    <xf numFmtId="44" fontId="0" fillId="0" borderId="5" xfId="1" applyFont="1" applyBorder="1"/>
    <xf numFmtId="8" fontId="0" fillId="0" borderId="7" xfId="0" applyNumberFormat="1" applyBorder="1"/>
    <xf numFmtId="0" fontId="0" fillId="2" borderId="1" xfId="0" applyFill="1" applyBorder="1"/>
    <xf numFmtId="6" fontId="0" fillId="0" borderId="8" xfId="0" applyNumberFormat="1" applyBorder="1" applyAlignment="1">
      <alignment horizontal="center"/>
    </xf>
    <xf numFmtId="6" fontId="0" fillId="0" borderId="9" xfId="0" applyNumberFormat="1" applyBorder="1" applyAlignment="1">
      <alignment horizontal="center"/>
    </xf>
    <xf numFmtId="44" fontId="0" fillId="0" borderId="5" xfId="0" applyNumberFormat="1" applyBorder="1" applyAlignment="1">
      <alignment horizontal="center"/>
    </xf>
    <xf numFmtId="8" fontId="0" fillId="0" borderId="7" xfId="0" applyNumberFormat="1" applyBorder="1" applyAlignment="1">
      <alignment horizontal="center"/>
    </xf>
    <xf numFmtId="44" fontId="0" fillId="0" borderId="8" xfId="0" applyNumberFormat="1" applyBorder="1"/>
    <xf numFmtId="8" fontId="0" fillId="0" borderId="9" xfId="0" applyNumberFormat="1" applyBorder="1"/>
    <xf numFmtId="8" fontId="0" fillId="0" borderId="8" xfId="0" applyNumberFormat="1" applyBorder="1"/>
    <xf numFmtId="0" fontId="0" fillId="0" borderId="10" xfId="0" applyBorder="1"/>
    <xf numFmtId="8" fontId="2" fillId="0" borderId="0" xfId="0" applyNumberFormat="1" applyFont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1" xfId="0" applyBorder="1"/>
    <xf numFmtId="44" fontId="0" fillId="0" borderId="11" xfId="1" applyFont="1" applyBorder="1"/>
    <xf numFmtId="44" fontId="2" fillId="0" borderId="12" xfId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4" fontId="2" fillId="0" borderId="14" xfId="1" applyFont="1" applyBorder="1"/>
    <xf numFmtId="44" fontId="2" fillId="0" borderId="15" xfId="1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44" fontId="2" fillId="0" borderId="19" xfId="1" applyFont="1" applyBorder="1"/>
    <xf numFmtId="44" fontId="2" fillId="0" borderId="20" xfId="1" applyFont="1" applyBorder="1"/>
    <xf numFmtId="44" fontId="2" fillId="0" borderId="21" xfId="1" applyFont="1" applyBorder="1"/>
    <xf numFmtId="44" fontId="2" fillId="0" borderId="22" xfId="1" applyFont="1" applyBorder="1"/>
    <xf numFmtId="44" fontId="0" fillId="0" borderId="10" xfId="1" applyFont="1" applyBorder="1"/>
    <xf numFmtId="44" fontId="0" fillId="0" borderId="11" xfId="0" applyNumberFormat="1" applyBorder="1"/>
    <xf numFmtId="0" fontId="0" fillId="3" borderId="1" xfId="0" applyFill="1" applyBorder="1"/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6" fillId="0" borderId="24" xfId="0" applyNumberFormat="1" applyFont="1" applyBorder="1" applyAlignment="1">
      <alignment horizontal="center"/>
    </xf>
    <xf numFmtId="0" fontId="7" fillId="3" borderId="23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24" xfId="0" applyBorder="1"/>
    <xf numFmtId="0" fontId="7" fillId="3" borderId="25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2" fillId="0" borderId="23" xfId="0" applyFont="1" applyBorder="1"/>
    <xf numFmtId="0" fontId="0" fillId="0" borderId="27" xfId="0" applyBorder="1"/>
    <xf numFmtId="0" fontId="7" fillId="3" borderId="1" xfId="0" applyFont="1" applyFill="1" applyBorder="1" applyAlignment="1">
      <alignment horizontal="center" vertical="center" wrapText="1"/>
    </xf>
    <xf numFmtId="1" fontId="0" fillId="0" borderId="27" xfId="0" applyNumberFormat="1" applyBorder="1"/>
    <xf numFmtId="1" fontId="0" fillId="0" borderId="24" xfId="0" applyNumberFormat="1" applyBorder="1"/>
    <xf numFmtId="0" fontId="2" fillId="3" borderId="1" xfId="0" applyFont="1" applyFill="1" applyBorder="1" applyAlignment="1">
      <alignment horizontal="center"/>
    </xf>
    <xf numFmtId="44" fontId="0" fillId="4" borderId="1" xfId="0" applyNumberFormat="1" applyFill="1" applyBorder="1"/>
    <xf numFmtId="44" fontId="0" fillId="4" borderId="1" xfId="1" applyFont="1" applyFill="1" applyBorder="1"/>
    <xf numFmtId="0" fontId="2" fillId="0" borderId="0" xfId="0" applyFont="1" applyAlignment="1">
      <alignment horizontal="center"/>
    </xf>
    <xf numFmtId="164" fontId="0" fillId="4" borderId="1" xfId="0" quotePrefix="1" applyNumberFormat="1" applyFill="1" applyBorder="1"/>
    <xf numFmtId="165" fontId="0" fillId="0" borderId="0" xfId="2" applyNumberFormat="1" applyFont="1"/>
    <xf numFmtId="43" fontId="0" fillId="0" borderId="0" xfId="0" applyNumberFormat="1"/>
    <xf numFmtId="44" fontId="4" fillId="0" borderId="11" xfId="1" applyFont="1" applyBorder="1"/>
    <xf numFmtId="0" fontId="11" fillId="0" borderId="0" xfId="0" applyFont="1" applyAlignment="1">
      <alignment horizontal="right"/>
    </xf>
    <xf numFmtId="44" fontId="2" fillId="3" borderId="1" xfId="1" applyFont="1" applyFill="1" applyBorder="1"/>
    <xf numFmtId="0" fontId="0" fillId="0" borderId="4" xfId="0" applyBorder="1"/>
    <xf numFmtId="44" fontId="0" fillId="0" borderId="0" xfId="1" applyFont="1" applyBorder="1"/>
    <xf numFmtId="8" fontId="0" fillId="0" borderId="0" xfId="0" applyNumberFormat="1" applyBorder="1"/>
    <xf numFmtId="0" fontId="0" fillId="0" borderId="0" xfId="0" applyBorder="1"/>
    <xf numFmtId="44" fontId="0" fillId="0" borderId="0" xfId="0" applyNumberFormat="1" applyBorder="1"/>
    <xf numFmtId="44" fontId="2" fillId="0" borderId="0" xfId="1" applyFont="1" applyBorder="1"/>
    <xf numFmtId="0" fontId="2" fillId="0" borderId="0" xfId="0" applyFont="1" applyBorder="1"/>
    <xf numFmtId="44" fontId="2" fillId="0" borderId="11" xfId="0" applyNumberFormat="1" applyFont="1" applyBorder="1"/>
    <xf numFmtId="4" fontId="0" fillId="0" borderId="0" xfId="0" applyNumberFormat="1"/>
    <xf numFmtId="3" fontId="0" fillId="0" borderId="0" xfId="0" applyNumberFormat="1"/>
    <xf numFmtId="43" fontId="0" fillId="4" borderId="1" xfId="2" applyFont="1" applyFill="1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/>
    <xf numFmtId="0" fontId="10" fillId="0" borderId="0" xfId="3" applyAlignment="1">
      <alignment horizontal="center" vertical="center"/>
    </xf>
  </cellXfs>
  <cellStyles count="4">
    <cellStyle name="Comma" xfId="2" builtinId="3"/>
    <cellStyle name="Currency" xfId="1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worldatlas.com/articles/meat-consumption-in-americ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41823-DBB9-4AF4-83FD-CCA4D372557B}">
  <dimension ref="A2:T40"/>
  <sheetViews>
    <sheetView workbookViewId="0">
      <selection activeCell="F26" sqref="F26"/>
    </sheetView>
  </sheetViews>
  <sheetFormatPr defaultRowHeight="15" x14ac:dyDescent="0.25"/>
  <cols>
    <col min="9" max="9" width="10.5703125" bestFit="1" customWidth="1"/>
    <col min="10" max="10" width="9.85546875" bestFit="1" customWidth="1"/>
    <col min="15" max="16" width="9.140625" style="2"/>
    <col min="17" max="18" width="11.5703125" bestFit="1" customWidth="1"/>
  </cols>
  <sheetData>
    <row r="2" spans="1:17" x14ac:dyDescent="0.25">
      <c r="A2" s="4" t="s">
        <v>29</v>
      </c>
    </row>
    <row r="3" spans="1:17" x14ac:dyDescent="0.25">
      <c r="B3" s="91" t="s">
        <v>30</v>
      </c>
      <c r="C3" s="91"/>
      <c r="D3" s="91"/>
      <c r="E3" s="91"/>
      <c r="F3" s="91"/>
      <c r="I3" s="4" t="s">
        <v>4</v>
      </c>
      <c r="N3" s="15" t="s">
        <v>1</v>
      </c>
    </row>
    <row r="4" spans="1:17" ht="15.75" customHeight="1" thickBot="1" x14ac:dyDescent="0.3">
      <c r="B4" s="91"/>
      <c r="C4" s="91"/>
      <c r="D4" s="91"/>
      <c r="E4" s="91"/>
      <c r="F4" s="91"/>
      <c r="J4" s="4" t="s">
        <v>5</v>
      </c>
      <c r="K4" s="4" t="s">
        <v>6</v>
      </c>
      <c r="L4" s="4" t="s">
        <v>7</v>
      </c>
    </row>
    <row r="5" spans="1:17" ht="15.75" thickBot="1" x14ac:dyDescent="0.3">
      <c r="B5" s="91"/>
      <c r="C5" s="91"/>
      <c r="D5" s="91"/>
      <c r="E5" s="91"/>
      <c r="F5" s="91"/>
      <c r="J5" s="48">
        <v>200</v>
      </c>
      <c r="K5" s="48">
        <v>200</v>
      </c>
      <c r="L5" s="21">
        <f>SUM(J5:K5)</f>
        <v>400</v>
      </c>
    </row>
    <row r="6" spans="1:17" ht="15.75" thickBot="1" x14ac:dyDescent="0.3">
      <c r="A6" s="4" t="s">
        <v>1</v>
      </c>
      <c r="I6" s="4" t="s">
        <v>21</v>
      </c>
      <c r="M6" s="4"/>
      <c r="O6" s="6" t="s">
        <v>22</v>
      </c>
      <c r="P6" s="6"/>
      <c r="Q6" s="4"/>
    </row>
    <row r="7" spans="1:17" ht="15.75" thickBot="1" x14ac:dyDescent="0.3">
      <c r="B7" s="4" t="s">
        <v>0</v>
      </c>
      <c r="I7" s="31" t="s">
        <v>10</v>
      </c>
      <c r="J7" s="32" t="s">
        <v>11</v>
      </c>
      <c r="M7" s="4"/>
      <c r="O7" s="6"/>
      <c r="P7" s="6" t="s">
        <v>10</v>
      </c>
      <c r="Q7" s="4" t="s">
        <v>11</v>
      </c>
    </row>
    <row r="8" spans="1:17" ht="15.75" thickBot="1" x14ac:dyDescent="0.3">
      <c r="B8" s="92" t="s">
        <v>13</v>
      </c>
      <c r="C8" s="93"/>
      <c r="E8" s="92" t="s">
        <v>14</v>
      </c>
      <c r="F8" s="93"/>
      <c r="I8" s="24">
        <f>E9*B9</f>
        <v>1080</v>
      </c>
      <c r="J8" s="25">
        <f>F9*C9</f>
        <v>2240</v>
      </c>
      <c r="N8" s="7" t="s">
        <v>8</v>
      </c>
      <c r="O8" s="8"/>
      <c r="P8" s="9">
        <f>I8/L5</f>
        <v>2.7</v>
      </c>
      <c r="Q8" s="10">
        <f>J8/L5</f>
        <v>5.6</v>
      </c>
    </row>
    <row r="9" spans="1:17" ht="15.75" thickBot="1" x14ac:dyDescent="0.3">
      <c r="B9" s="19">
        <v>60</v>
      </c>
      <c r="C9" s="20">
        <v>70</v>
      </c>
      <c r="E9" s="17">
        <v>18</v>
      </c>
      <c r="F9" s="18">
        <v>32</v>
      </c>
      <c r="N9" s="11" t="s">
        <v>2</v>
      </c>
      <c r="O9" s="12"/>
      <c r="P9" s="13">
        <f>I10/L5</f>
        <v>0.25</v>
      </c>
      <c r="Q9" s="14">
        <f>J10/L5</f>
        <v>0.375</v>
      </c>
    </row>
    <row r="10" spans="1:17" ht="15.75" thickBot="1" x14ac:dyDescent="0.3">
      <c r="B10" s="4"/>
      <c r="E10" s="4"/>
      <c r="I10" s="22">
        <v>100</v>
      </c>
      <c r="J10" s="23">
        <v>150</v>
      </c>
      <c r="N10" s="7" t="s">
        <v>3</v>
      </c>
      <c r="O10" s="8"/>
      <c r="P10" s="9">
        <f>I12/L5</f>
        <v>0.45</v>
      </c>
      <c r="Q10" s="10">
        <f>J12/L5</f>
        <v>1.05</v>
      </c>
    </row>
    <row r="11" spans="1:17" ht="15.75" thickBot="1" x14ac:dyDescent="0.3">
      <c r="B11" s="7" t="s">
        <v>3</v>
      </c>
      <c r="C11" s="78"/>
      <c r="E11" s="92" t="s">
        <v>14</v>
      </c>
      <c r="F11" s="93"/>
      <c r="N11" s="11" t="s">
        <v>9</v>
      </c>
      <c r="O11" s="12"/>
      <c r="P11" s="13">
        <f>I19/L5</f>
        <v>0.3</v>
      </c>
      <c r="Q11" s="14">
        <f>J19/L5</f>
        <v>0.35</v>
      </c>
    </row>
    <row r="12" spans="1:17" ht="15.75" thickBot="1" x14ac:dyDescent="0.3">
      <c r="B12" s="19">
        <v>60</v>
      </c>
      <c r="C12" s="20">
        <v>70</v>
      </c>
      <c r="E12" s="17">
        <v>3</v>
      </c>
      <c r="F12" s="18">
        <v>6</v>
      </c>
      <c r="I12" s="26">
        <f>E12*B12</f>
        <v>180</v>
      </c>
      <c r="J12" s="27">
        <f>F12*C12</f>
        <v>420</v>
      </c>
      <c r="Q12" s="4"/>
    </row>
    <row r="13" spans="1:17" x14ac:dyDescent="0.25">
      <c r="B13" s="79"/>
      <c r="C13" s="80"/>
      <c r="E13" s="81"/>
      <c r="F13" s="81"/>
      <c r="I13" s="82"/>
      <c r="J13" s="80"/>
      <c r="Q13" s="4"/>
    </row>
    <row r="14" spans="1:17" x14ac:dyDescent="0.25">
      <c r="B14" s="83" t="s">
        <v>75</v>
      </c>
      <c r="C14" s="80"/>
      <c r="E14" s="84" t="s">
        <v>76</v>
      </c>
      <c r="F14" s="81"/>
      <c r="I14" s="82"/>
      <c r="J14" s="80"/>
      <c r="Q14" s="4"/>
    </row>
    <row r="15" spans="1:17" x14ac:dyDescent="0.25">
      <c r="B15" s="79"/>
      <c r="C15" s="80"/>
      <c r="E15" s="81"/>
      <c r="F15" s="81"/>
      <c r="I15" s="82"/>
      <c r="J15" s="80"/>
      <c r="Q15" s="4"/>
    </row>
    <row r="16" spans="1:17" x14ac:dyDescent="0.25">
      <c r="B16" s="79"/>
      <c r="C16" s="80"/>
      <c r="E16" s="81"/>
      <c r="F16" s="81"/>
      <c r="I16" s="82"/>
      <c r="J16" s="80"/>
      <c r="Q16" s="4"/>
    </row>
    <row r="17" spans="1:18" ht="15.75" thickBot="1" x14ac:dyDescent="0.3">
      <c r="C17" s="4" t="s">
        <v>0</v>
      </c>
      <c r="O17" s="5" t="s">
        <v>12</v>
      </c>
      <c r="P17" s="6">
        <f>SUM(P8:P12)</f>
        <v>3.7</v>
      </c>
      <c r="Q17" s="16">
        <f>SUM(Q8:Q12)</f>
        <v>7.3749999999999991</v>
      </c>
    </row>
    <row r="18" spans="1:18" ht="15.75" thickBot="1" x14ac:dyDescent="0.3">
      <c r="A18" s="4" t="s">
        <v>74</v>
      </c>
      <c r="C18" s="92" t="s">
        <v>13</v>
      </c>
      <c r="D18" s="93"/>
      <c r="F18" s="92" t="s">
        <v>14</v>
      </c>
      <c r="G18" s="93"/>
    </row>
    <row r="19" spans="1:18" ht="15.75" thickBot="1" x14ac:dyDescent="0.3">
      <c r="C19" s="19">
        <v>60</v>
      </c>
      <c r="D19" s="20">
        <v>70</v>
      </c>
      <c r="F19" s="89">
        <v>2</v>
      </c>
      <c r="G19" s="90"/>
      <c r="I19" s="28">
        <f>F19*C19</f>
        <v>120</v>
      </c>
      <c r="J19" s="27">
        <f>F19*D19</f>
        <v>140</v>
      </c>
      <c r="O19" s="5" t="s">
        <v>15</v>
      </c>
      <c r="P19" s="6">
        <v>5</v>
      </c>
      <c r="Q19" s="6">
        <v>6.5</v>
      </c>
    </row>
    <row r="20" spans="1:18" ht="15.75" thickBot="1" x14ac:dyDescent="0.3">
      <c r="I20" s="29"/>
      <c r="J20" s="29"/>
    </row>
    <row r="21" spans="1:18" ht="16.5" thickTop="1" thickBot="1" x14ac:dyDescent="0.3">
      <c r="H21" s="5" t="s">
        <v>84</v>
      </c>
      <c r="I21" s="16">
        <f>SUM(I8:I19)</f>
        <v>1480</v>
      </c>
      <c r="J21" s="30">
        <f>SUM(J8:J19)</f>
        <v>2950</v>
      </c>
    </row>
    <row r="22" spans="1:18" ht="15.75" thickBot="1" x14ac:dyDescent="0.3">
      <c r="M22" s="21"/>
      <c r="N22" s="36" t="s">
        <v>10</v>
      </c>
      <c r="O22" s="35" t="s">
        <v>11</v>
      </c>
    </row>
    <row r="23" spans="1:18" x14ac:dyDescent="0.25">
      <c r="M23" s="39" t="s">
        <v>16</v>
      </c>
      <c r="N23" s="37">
        <v>5</v>
      </c>
      <c r="O23" s="42">
        <v>6.5</v>
      </c>
      <c r="Q23" s="16">
        <f>L5*N23</f>
        <v>2000</v>
      </c>
      <c r="R23" s="16">
        <f>L5*O23</f>
        <v>2600</v>
      </c>
    </row>
    <row r="24" spans="1:18" x14ac:dyDescent="0.25">
      <c r="M24" s="40" t="s">
        <v>17</v>
      </c>
      <c r="N24" s="38">
        <v>5</v>
      </c>
      <c r="O24" s="43">
        <v>6.5</v>
      </c>
      <c r="Q24" s="3"/>
      <c r="R24" s="3"/>
    </row>
    <row r="25" spans="1:18" x14ac:dyDescent="0.25">
      <c r="M25" s="40" t="s">
        <v>18</v>
      </c>
      <c r="N25" s="38">
        <v>5</v>
      </c>
      <c r="O25" s="43">
        <v>6.5</v>
      </c>
      <c r="Q25" s="3"/>
      <c r="R25" s="3"/>
    </row>
    <row r="26" spans="1:18" x14ac:dyDescent="0.25">
      <c r="M26" s="40" t="s">
        <v>19</v>
      </c>
      <c r="N26" s="38">
        <v>5</v>
      </c>
      <c r="O26" s="43">
        <v>6.5</v>
      </c>
      <c r="Q26" s="3"/>
      <c r="R26" s="3"/>
    </row>
    <row r="27" spans="1:18" ht="15.75" thickBot="1" x14ac:dyDescent="0.3">
      <c r="M27" s="41" t="s">
        <v>20</v>
      </c>
      <c r="N27" s="44">
        <v>5</v>
      </c>
      <c r="O27" s="45">
        <v>6.5</v>
      </c>
      <c r="Q27" s="3"/>
      <c r="R27" s="3"/>
    </row>
    <row r="28" spans="1:18" ht="15.75" thickBot="1" x14ac:dyDescent="0.3">
      <c r="N28" s="29"/>
      <c r="O28" s="46"/>
      <c r="Q28" s="3"/>
      <c r="R28" s="3"/>
    </row>
    <row r="29" spans="1:18" ht="15.75" thickTop="1" x14ac:dyDescent="0.25">
      <c r="M29" s="5" t="s">
        <v>23</v>
      </c>
      <c r="N29" s="16">
        <f>SUM(N23:N28)</f>
        <v>25</v>
      </c>
      <c r="O29" s="6">
        <f>SUM(O23:O28)</f>
        <v>32.5</v>
      </c>
      <c r="Q29" s="16">
        <f>L5*N29</f>
        <v>10000</v>
      </c>
      <c r="R29" s="16">
        <f>L5*O29</f>
        <v>13000</v>
      </c>
    </row>
    <row r="30" spans="1:18" x14ac:dyDescent="0.25">
      <c r="M30" s="5" t="s">
        <v>24</v>
      </c>
      <c r="N30" s="16">
        <f>P17</f>
        <v>3.7</v>
      </c>
      <c r="O30" s="6">
        <f>Q17</f>
        <v>7.3749999999999991</v>
      </c>
      <c r="Q30" s="3">
        <f>I21</f>
        <v>1480</v>
      </c>
      <c r="R30" s="1">
        <f>J21</f>
        <v>2950</v>
      </c>
    </row>
    <row r="31" spans="1:18" x14ac:dyDescent="0.25">
      <c r="M31" s="5" t="s">
        <v>25</v>
      </c>
      <c r="N31" s="16">
        <f>(P10+P11)</f>
        <v>0.75</v>
      </c>
      <c r="O31" s="6">
        <f>(Q10+Q11)</f>
        <v>1.4</v>
      </c>
      <c r="Q31" s="3">
        <v>300</v>
      </c>
      <c r="R31" s="3">
        <v>560</v>
      </c>
    </row>
    <row r="32" spans="1:18" x14ac:dyDescent="0.25">
      <c r="M32" s="5" t="s">
        <v>26</v>
      </c>
      <c r="N32" s="16">
        <f>P17/2</f>
        <v>1.85</v>
      </c>
      <c r="O32" s="6">
        <f>Q17/2</f>
        <v>3.6874999999999996</v>
      </c>
      <c r="Q32" s="3">
        <f>L5*N32</f>
        <v>740</v>
      </c>
      <c r="R32" s="3">
        <f>L5*O32</f>
        <v>1474.9999999999998</v>
      </c>
    </row>
    <row r="33" spans="13:20" ht="15.75" thickBot="1" x14ac:dyDescent="0.3">
      <c r="N33" s="33"/>
      <c r="O33" s="34"/>
      <c r="Q33" s="47"/>
      <c r="R33" s="47"/>
    </row>
    <row r="34" spans="13:20" ht="15.75" thickTop="1" x14ac:dyDescent="0.25">
      <c r="N34" s="16">
        <f>SUM(N29:N33)</f>
        <v>31.3</v>
      </c>
      <c r="O34" s="16">
        <f>SUM(O29:O33)</f>
        <v>44.962499999999999</v>
      </c>
      <c r="P34" s="6"/>
      <c r="Q34" s="16">
        <f>400*N34</f>
        <v>12520</v>
      </c>
      <c r="R34" s="16">
        <f>400*O34</f>
        <v>17985</v>
      </c>
    </row>
    <row r="35" spans="13:20" ht="15.75" thickBot="1" x14ac:dyDescent="0.3">
      <c r="M35" s="5" t="s">
        <v>85</v>
      </c>
      <c r="Q35" s="85">
        <f>Q34*0.1</f>
        <v>1252</v>
      </c>
      <c r="R35" s="85">
        <f>R34*0.1</f>
        <v>1798.5</v>
      </c>
    </row>
    <row r="36" spans="13:20" ht="15.75" thickTop="1" x14ac:dyDescent="0.25">
      <c r="Q36" s="16">
        <f>SUM(Q34:Q35)</f>
        <v>13772</v>
      </c>
      <c r="R36" s="16">
        <f>SUM(R34:R35)</f>
        <v>19783.5</v>
      </c>
      <c r="T36" s="4"/>
    </row>
    <row r="38" spans="13:20" x14ac:dyDescent="0.25">
      <c r="Q38" s="16">
        <f>Q36/5</f>
        <v>2754.4</v>
      </c>
      <c r="R38" s="16">
        <f>R36/5</f>
        <v>3956.7</v>
      </c>
      <c r="S38" s="4" t="s">
        <v>86</v>
      </c>
    </row>
    <row r="39" spans="13:20" x14ac:dyDescent="0.25">
      <c r="S39" s="4" t="s">
        <v>28</v>
      </c>
    </row>
    <row r="40" spans="13:20" x14ac:dyDescent="0.25">
      <c r="Q40" s="16">
        <f>Q38/L5</f>
        <v>6.8860000000000001</v>
      </c>
      <c r="R40" s="16">
        <f>R38/L5</f>
        <v>9.89175</v>
      </c>
      <c r="S40" s="4" t="s">
        <v>27</v>
      </c>
    </row>
  </sheetData>
  <mergeCells count="7">
    <mergeCell ref="F19:G19"/>
    <mergeCell ref="B3:F5"/>
    <mergeCell ref="B8:C8"/>
    <mergeCell ref="E8:F8"/>
    <mergeCell ref="E11:F11"/>
    <mergeCell ref="C18:D18"/>
    <mergeCell ref="F18:G18"/>
  </mergeCells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BBDED-3B08-49AB-9C37-4CAB97350D4C}">
  <dimension ref="A2:T40"/>
  <sheetViews>
    <sheetView tabSelected="1" workbookViewId="0">
      <selection activeCell="I13" sqref="I13"/>
    </sheetView>
  </sheetViews>
  <sheetFormatPr defaultRowHeight="15" x14ac:dyDescent="0.25"/>
  <cols>
    <col min="2" max="2" width="17.85546875" bestFit="1" customWidth="1"/>
    <col min="3" max="3" width="11.7109375" bestFit="1" customWidth="1"/>
    <col min="4" max="4" width="12.7109375" bestFit="1" customWidth="1"/>
    <col min="5" max="5" width="32.140625" customWidth="1"/>
    <col min="6" max="6" width="19.7109375" customWidth="1"/>
    <col min="7" max="7" width="21" customWidth="1"/>
    <col min="8" max="8" width="15.28515625" bestFit="1" customWidth="1"/>
    <col min="9" max="9" width="18.85546875" customWidth="1"/>
    <col min="10" max="10" width="14.42578125" customWidth="1"/>
    <col min="11" max="11" width="14.5703125" customWidth="1"/>
    <col min="12" max="12" width="10.5703125" customWidth="1"/>
    <col min="13" max="13" width="12.140625" customWidth="1"/>
    <col min="14" max="14" width="12" customWidth="1"/>
  </cols>
  <sheetData>
    <row r="2" spans="1:20" x14ac:dyDescent="0.25">
      <c r="T2" t="s">
        <v>11</v>
      </c>
    </row>
    <row r="3" spans="1:20" x14ac:dyDescent="0.25">
      <c r="T3" t="s">
        <v>10</v>
      </c>
    </row>
    <row r="4" spans="1:20" x14ac:dyDescent="0.25">
      <c r="A4" s="4" t="s">
        <v>31</v>
      </c>
      <c r="J4" s="4" t="s">
        <v>44</v>
      </c>
    </row>
    <row r="6" spans="1:20" ht="15.75" thickBot="1" x14ac:dyDescent="0.3">
      <c r="B6" s="94" t="s">
        <v>32</v>
      </c>
      <c r="C6" s="95"/>
      <c r="D6" s="95"/>
      <c r="E6" s="49"/>
    </row>
    <row r="7" spans="1:20" ht="77.25" thickBot="1" x14ac:dyDescent="0.3">
      <c r="B7" s="55" t="s">
        <v>33</v>
      </c>
      <c r="C7" s="56" t="s">
        <v>34</v>
      </c>
      <c r="D7" s="56" t="s">
        <v>35</v>
      </c>
      <c r="E7" s="56" t="s">
        <v>79</v>
      </c>
      <c r="F7" s="56" t="s">
        <v>36</v>
      </c>
      <c r="G7" s="56" t="s">
        <v>37</v>
      </c>
      <c r="J7" s="60" t="s">
        <v>45</v>
      </c>
      <c r="K7" s="61" t="s">
        <v>50</v>
      </c>
      <c r="L7" s="61" t="s">
        <v>51</v>
      </c>
      <c r="M7" s="61" t="s">
        <v>52</v>
      </c>
      <c r="N7" s="62" t="s">
        <v>53</v>
      </c>
      <c r="O7" s="65" t="s">
        <v>56</v>
      </c>
    </row>
    <row r="8" spans="1:20" ht="15.75" thickBot="1" x14ac:dyDescent="0.3">
      <c r="B8" s="54">
        <v>25000000</v>
      </c>
      <c r="C8" s="54">
        <f>SUM(B8/4.51)</f>
        <v>5543237.2505543241</v>
      </c>
      <c r="D8" s="54">
        <f>SUM(C8*7.63)</f>
        <v>42294900.221729495</v>
      </c>
      <c r="E8" s="54">
        <f>SUM(D8*0.6)</f>
        <v>25376940.133037698</v>
      </c>
      <c r="F8" s="54">
        <f>SUM(D8*0.3)</f>
        <v>12688470.066518849</v>
      </c>
      <c r="G8" s="54">
        <f>SUM(D8*0.1)</f>
        <v>4229490.0221729493</v>
      </c>
      <c r="I8" s="5" t="s">
        <v>46</v>
      </c>
      <c r="J8" s="63" t="s">
        <v>49</v>
      </c>
      <c r="K8" s="63" t="s">
        <v>54</v>
      </c>
      <c r="L8" s="63" t="s">
        <v>55</v>
      </c>
      <c r="M8" s="63"/>
      <c r="N8" s="63"/>
      <c r="O8" s="63"/>
    </row>
    <row r="9" spans="1:20" x14ac:dyDescent="0.25">
      <c r="B9" s="49"/>
      <c r="C9" s="49"/>
      <c r="D9" s="49"/>
      <c r="E9" s="49"/>
      <c r="I9" s="5" t="s">
        <v>48</v>
      </c>
      <c r="J9" s="64">
        <v>148</v>
      </c>
      <c r="K9" s="64">
        <v>168</v>
      </c>
      <c r="L9" s="64">
        <v>159</v>
      </c>
      <c r="M9" s="64"/>
      <c r="N9" s="64"/>
      <c r="O9" s="66">
        <f>AVERAGE(J9:N9)</f>
        <v>158.33333333333334</v>
      </c>
    </row>
    <row r="10" spans="1:20" ht="15.75" thickBot="1" x14ac:dyDescent="0.3">
      <c r="B10" s="49"/>
      <c r="C10" s="49"/>
      <c r="D10" s="49"/>
      <c r="E10" s="49"/>
      <c r="I10" s="5" t="s">
        <v>47</v>
      </c>
      <c r="J10" s="59">
        <v>40</v>
      </c>
      <c r="K10" s="59">
        <v>45</v>
      </c>
      <c r="L10" s="59">
        <v>42</v>
      </c>
      <c r="M10" s="59"/>
      <c r="N10" s="59"/>
      <c r="O10" s="67">
        <f>AVERAGE(J10:N10)</f>
        <v>42.333333333333336</v>
      </c>
    </row>
    <row r="11" spans="1:20" ht="128.25" x14ac:dyDescent="0.25">
      <c r="B11" s="51" t="s">
        <v>38</v>
      </c>
      <c r="C11" s="51" t="s">
        <v>39</v>
      </c>
      <c r="D11" s="51" t="s">
        <v>40</v>
      </c>
      <c r="E11" s="51" t="s">
        <v>41</v>
      </c>
      <c r="F11" s="57" t="s">
        <v>42</v>
      </c>
      <c r="G11" s="57" t="s">
        <v>43</v>
      </c>
    </row>
    <row r="12" spans="1:20" x14ac:dyDescent="0.25">
      <c r="B12" s="50">
        <f>SUM(E8/56)</f>
        <v>453159.64523281605</v>
      </c>
      <c r="C12" s="50">
        <f>SUM(F8/60)</f>
        <v>211474.50110864747</v>
      </c>
      <c r="D12" s="52">
        <f>B12/O9</f>
        <v>2862.0609172598906</v>
      </c>
      <c r="E12" s="52">
        <f>C12/O10</f>
        <v>4995.4606561097826</v>
      </c>
      <c r="F12" s="53">
        <f t="shared" ref="F12:G12" si="0">SUM(D12*1.1)</f>
        <v>3148.2670089858798</v>
      </c>
      <c r="G12" s="53">
        <f t="shared" si="0"/>
        <v>5495.0067217207616</v>
      </c>
    </row>
    <row r="13" spans="1:20" x14ac:dyDescent="0.25">
      <c r="B13" s="49"/>
      <c r="C13" s="49"/>
      <c r="D13" s="49"/>
      <c r="E13" s="49"/>
    </row>
    <row r="14" spans="1:20" ht="15.75" thickBot="1" x14ac:dyDescent="0.3">
      <c r="E14" s="4" t="s">
        <v>80</v>
      </c>
      <c r="F14" s="71" t="s">
        <v>62</v>
      </c>
      <c r="G14" s="71" t="s">
        <v>61</v>
      </c>
    </row>
    <row r="15" spans="1:20" ht="15.75" thickBot="1" x14ac:dyDescent="0.3">
      <c r="B15" s="4" t="s">
        <v>57</v>
      </c>
      <c r="D15" s="77">
        <v>6.5</v>
      </c>
      <c r="E15" s="69">
        <f>D15*0.1</f>
        <v>0.65</v>
      </c>
      <c r="F15" s="69">
        <f>(D15+E15)*(F12+G12)</f>
        <v>61799.407174552493</v>
      </c>
      <c r="G15" s="69">
        <f>F15*5</f>
        <v>308997.03587276244</v>
      </c>
    </row>
    <row r="16" spans="1:20" ht="15.75" thickBot="1" x14ac:dyDescent="0.3">
      <c r="B16" s="4" t="s">
        <v>81</v>
      </c>
      <c r="D16" s="68" t="s">
        <v>11</v>
      </c>
      <c r="E16" s="69">
        <f>E15</f>
        <v>0.65</v>
      </c>
      <c r="F16" s="70">
        <f>IF(D16="High",'Farm Trans Total Cost by acre'!J21,'Farm Trans Total Cost by acre'!I21)</f>
        <v>2950</v>
      </c>
      <c r="G16" s="69">
        <f>F16</f>
        <v>2950</v>
      </c>
    </row>
    <row r="17" spans="3:10" ht="15.75" thickBot="1" x14ac:dyDescent="0.3"/>
    <row r="18" spans="3:10" ht="15.75" thickBot="1" x14ac:dyDescent="0.3">
      <c r="E18" s="5" t="s">
        <v>63</v>
      </c>
      <c r="F18" s="69">
        <f>SUM(F15:F17)</f>
        <v>64749.407174552493</v>
      </c>
      <c r="G18" s="69">
        <f>SUM(G15:G17)</f>
        <v>311947.03587276244</v>
      </c>
    </row>
    <row r="19" spans="3:10" ht="15.75" thickBot="1" x14ac:dyDescent="0.3">
      <c r="E19" s="33"/>
      <c r="F19" s="33"/>
      <c r="G19" s="29"/>
    </row>
    <row r="20" spans="3:10" ht="15.75" thickTop="1" x14ac:dyDescent="0.25"/>
    <row r="21" spans="3:10" x14ac:dyDescent="0.25">
      <c r="D21" s="4" t="s">
        <v>58</v>
      </c>
    </row>
    <row r="22" spans="3:10" ht="15.75" thickBot="1" x14ac:dyDescent="0.3"/>
    <row r="23" spans="3:10" ht="15.75" thickBot="1" x14ac:dyDescent="0.3">
      <c r="E23" s="5" t="s">
        <v>59</v>
      </c>
      <c r="F23" s="21">
        <v>1.5</v>
      </c>
      <c r="G23" s="15" t="s">
        <v>64</v>
      </c>
      <c r="H23" s="88">
        <f>F24/F23</f>
        <v>16666666.666666666</v>
      </c>
      <c r="I23" s="4" t="s">
        <v>78</v>
      </c>
    </row>
    <row r="24" spans="3:10" ht="15.75" thickBot="1" x14ac:dyDescent="0.3">
      <c r="E24" s="5" t="s">
        <v>60</v>
      </c>
      <c r="F24" s="88">
        <f>B8</f>
        <v>25000000</v>
      </c>
      <c r="G24" s="4" t="s">
        <v>64</v>
      </c>
    </row>
    <row r="25" spans="3:10" ht="15.75" thickBot="1" x14ac:dyDescent="0.3"/>
    <row r="26" spans="3:10" ht="15.75" thickBot="1" x14ac:dyDescent="0.3">
      <c r="E26" s="5" t="s">
        <v>65</v>
      </c>
      <c r="F26" s="72">
        <f>F18/(F24/F23)</f>
        <v>3.8849644304731496E-3</v>
      </c>
      <c r="G26" s="72">
        <f>G18/((F24*5)/F23)</f>
        <v>3.7433644304731496E-3</v>
      </c>
    </row>
    <row r="29" spans="3:10" x14ac:dyDescent="0.25">
      <c r="C29" t="s">
        <v>66</v>
      </c>
      <c r="J29" s="86"/>
    </row>
    <row r="30" spans="3:10" x14ac:dyDescent="0.25">
      <c r="C30" s="96" t="s">
        <v>67</v>
      </c>
      <c r="D30" s="96"/>
      <c r="E30" s="96"/>
      <c r="F30" s="96"/>
      <c r="G30" s="96"/>
      <c r="J30" s="2"/>
    </row>
    <row r="32" spans="3:10" x14ac:dyDescent="0.25">
      <c r="C32">
        <v>48.8</v>
      </c>
      <c r="D32" t="s">
        <v>68</v>
      </c>
      <c r="E32" s="73">
        <f>2.20462*C32</f>
        <v>107.58545599999998</v>
      </c>
      <c r="F32" t="s">
        <v>69</v>
      </c>
    </row>
    <row r="33" spans="4:11" x14ac:dyDescent="0.25">
      <c r="D33" s="58" t="s">
        <v>70</v>
      </c>
      <c r="E33" s="74">
        <f>E32*4</f>
        <v>430.34182399999992</v>
      </c>
      <c r="F33" t="s">
        <v>69</v>
      </c>
    </row>
    <row r="34" spans="4:11" x14ac:dyDescent="0.25">
      <c r="D34" t="s">
        <v>71</v>
      </c>
    </row>
    <row r="35" spans="4:11" ht="15.75" thickBot="1" x14ac:dyDescent="0.3">
      <c r="E35" s="76" t="s">
        <v>72</v>
      </c>
      <c r="F35" s="75">
        <f>E33/F23*0.01</f>
        <v>2.8689454933333325</v>
      </c>
      <c r="G35" s="4" t="s">
        <v>73</v>
      </c>
    </row>
    <row r="36" spans="4:11" ht="15.75" thickTop="1" x14ac:dyDescent="0.25"/>
    <row r="37" spans="4:11" x14ac:dyDescent="0.25">
      <c r="D37" t="s">
        <v>83</v>
      </c>
      <c r="H37" s="87">
        <f>D12+E12</f>
        <v>7857.5215733696732</v>
      </c>
      <c r="I37" t="s">
        <v>77</v>
      </c>
      <c r="J37" s="2">
        <f>H23*0.01</f>
        <v>166666.66666666666</v>
      </c>
      <c r="K37" t="s">
        <v>82</v>
      </c>
    </row>
    <row r="40" spans="4:11" x14ac:dyDescent="0.25">
      <c r="J40" s="74"/>
    </row>
  </sheetData>
  <mergeCells count="2">
    <mergeCell ref="B6:D6"/>
    <mergeCell ref="C30:G30"/>
  </mergeCells>
  <phoneticPr fontId="3" type="noConversion"/>
  <dataValidations count="1">
    <dataValidation type="list" allowBlank="1" showInputMessage="1" showErrorMessage="1" sqref="D16" xr:uid="{B58A1B32-BE53-4E90-8DCB-8DE23091C233}">
      <formula1>$T$2:$T$3</formula1>
    </dataValidation>
  </dataValidations>
  <hyperlinks>
    <hyperlink ref="C30" r:id="rId1" display="https://www.worldatlas.com/articles/meat-consumption-in-america.html" xr:uid="{DF853FAF-4A2D-4B3F-AA70-7C0BE3B5F97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Farm Trans Total Cost by acre</vt:lpstr>
      <vt:lpstr>Total Premium Brand Offset Cost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</cp:lastModifiedBy>
  <dcterms:created xsi:type="dcterms:W3CDTF">2019-08-12T19:50:51Z</dcterms:created>
  <dcterms:modified xsi:type="dcterms:W3CDTF">2019-12-12T16:21:20Z</dcterms:modified>
</cp:coreProperties>
</file>