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ct\Staff\Committees\Conservation_Marketplace_Midwest\Project\"/>
    </mc:Choice>
  </mc:AlternateContent>
  <bookViews>
    <workbookView xWindow="0" yWindow="0" windowWidth="19200" windowHeight="11460" firstSheet="4" activeTab="3"/>
  </bookViews>
  <sheets>
    <sheet name="READ ME" sheetId="1" r:id="rId1"/>
    <sheet name="Watershed Storage Goal" sheetId="5" r:id="rId2"/>
    <sheet name="Selecting Precipitation Amount" sheetId="7" r:id="rId3"/>
    <sheet name="TR-55 Runoff Estimation" sheetId="6" r:id="rId4"/>
    <sheet name="Surface Impoundment Inputs" sheetId="10" r:id="rId5"/>
    <sheet name="Site Water Storage Benefit" sheetId="11" r:id="rId6"/>
    <sheet name="Watershed Water Storage Benefit" sheetId="8" r:id="rId7"/>
  </sheets>
  <definedNames>
    <definedName name="BMP">'Surface Impoundment Inputs'!$N$6:$N$9</definedName>
    <definedName name="BMPs">'TR-55 Runoff Estimation'!$H$18:$H$21</definedName>
    <definedName name="Mgmt">'Surface Impoundment Inputs'!$AK$6:$AK$9</definedName>
    <definedName name="_xlnm.Print_Area" localSheetId="5">'Site Water Storage Benefit'!$A$1:$E$30</definedName>
  </definedNames>
  <calcPr calcId="162913"/>
</workbook>
</file>

<file path=xl/calcChain.xml><?xml version="1.0" encoding="utf-8"?>
<calcChain xmlns="http://schemas.openxmlformats.org/spreadsheetml/2006/main">
  <c r="G18" i="10" l="1"/>
  <c r="J18" i="10"/>
  <c r="J39" i="10"/>
  <c r="I39" i="10" s="1"/>
  <c r="D23" i="10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G15" i="7"/>
  <c r="E18" i="11"/>
  <c r="U37" i="5"/>
  <c r="U36" i="5"/>
  <c r="U35" i="5"/>
  <c r="U34" i="5"/>
  <c r="U33" i="5"/>
  <c r="U32" i="5"/>
  <c r="U31" i="5"/>
  <c r="E40" i="5" s="1"/>
  <c r="E41" i="5" s="1"/>
  <c r="E42" i="5" s="1"/>
  <c r="U30" i="5"/>
  <c r="E6" i="11"/>
  <c r="E7" i="11"/>
  <c r="E14" i="11"/>
  <c r="E13" i="11"/>
  <c r="E12" i="11"/>
  <c r="E22" i="11"/>
  <c r="E21" i="11"/>
  <c r="E19" i="11"/>
  <c r="E27" i="11"/>
  <c r="L146" i="6"/>
  <c r="I131" i="6"/>
  <c r="J131" i="6" s="1"/>
  <c r="E133" i="6"/>
  <c r="I130" i="6"/>
  <c r="J130" i="6"/>
  <c r="I132" i="6"/>
  <c r="J132" i="6"/>
  <c r="I133" i="6"/>
  <c r="I134" i="6"/>
  <c r="J134" i="6" s="1"/>
  <c r="E130" i="6"/>
  <c r="E131" i="6"/>
  <c r="E132" i="6"/>
  <c r="E134" i="6"/>
  <c r="D130" i="6"/>
  <c r="D131" i="6"/>
  <c r="D132" i="6"/>
  <c r="D133" i="6"/>
  <c r="D134" i="6"/>
  <c r="D121" i="6"/>
  <c r="I121" i="6"/>
  <c r="J121" i="6" s="1"/>
  <c r="D122" i="6"/>
  <c r="I122" i="6"/>
  <c r="J122" i="6" s="1"/>
  <c r="D123" i="6"/>
  <c r="I123" i="6"/>
  <c r="J123" i="6"/>
  <c r="D124" i="6"/>
  <c r="I124" i="6"/>
  <c r="J124" i="6" s="1"/>
  <c r="D125" i="6"/>
  <c r="I125" i="6"/>
  <c r="J125" i="6"/>
  <c r="D126" i="6"/>
  <c r="E126" i="6"/>
  <c r="I126" i="6"/>
  <c r="J126" i="6"/>
  <c r="D127" i="6"/>
  <c r="I127" i="6"/>
  <c r="J127" i="6" s="1"/>
  <c r="D128" i="6"/>
  <c r="E128" i="6"/>
  <c r="I128" i="6"/>
  <c r="J128" i="6" s="1"/>
  <c r="D129" i="6"/>
  <c r="I129" i="6"/>
  <c r="J129" i="6"/>
  <c r="C121" i="6"/>
  <c r="E144" i="6"/>
  <c r="E20" i="11" s="1"/>
  <c r="J133" i="6"/>
  <c r="E28" i="11"/>
  <c r="G19" i="10"/>
  <c r="J135" i="6" l="1"/>
  <c r="F136" i="6" s="1"/>
  <c r="G136" i="6" s="1"/>
  <c r="L150" i="6" s="1"/>
  <c r="H154" i="6" s="1"/>
  <c r="H155" i="6" s="1"/>
  <c r="D24" i="10"/>
  <c r="H24" i="10" s="1"/>
  <c r="H153" i="6"/>
  <c r="I135" i="6"/>
  <c r="H156" i="6" l="1"/>
  <c r="E29" i="11" s="1"/>
  <c r="J24" i="10"/>
  <c r="D25" i="10"/>
  <c r="H25" i="10" l="1"/>
  <c r="D26" i="10"/>
  <c r="H26" i="10" l="1"/>
  <c r="J26" i="10" s="1"/>
  <c r="D27" i="10"/>
  <c r="J25" i="10"/>
  <c r="H27" i="10" l="1"/>
  <c r="J27" i="10" s="1"/>
  <c r="D28" i="10"/>
  <c r="H28" i="10" l="1"/>
  <c r="J28" i="10" s="1"/>
  <c r="D29" i="10"/>
  <c r="H29" i="10" l="1"/>
  <c r="D30" i="10"/>
  <c r="H30" i="10" l="1"/>
  <c r="J30" i="10" s="1"/>
  <c r="D31" i="10"/>
  <c r="J29" i="10"/>
  <c r="H31" i="10" l="1"/>
  <c r="J31" i="10" s="1"/>
  <c r="D32" i="10"/>
  <c r="H32" i="10" l="1"/>
  <c r="J32" i="10" s="1"/>
  <c r="D33" i="10"/>
  <c r="H33" i="10" s="1"/>
  <c r="J33" i="10" l="1"/>
  <c r="J35" i="10" s="1"/>
  <c r="H43" i="10" s="1"/>
  <c r="H35" i="10"/>
  <c r="H42" i="10" l="1"/>
  <c r="E26" i="11"/>
  <c r="E30" i="11" s="1"/>
</calcChain>
</file>

<file path=xl/sharedStrings.xml><?xml version="1.0" encoding="utf-8"?>
<sst xmlns="http://schemas.openxmlformats.org/spreadsheetml/2006/main" count="553" uniqueCount="406">
  <si>
    <t>Acres in AOI</t>
  </si>
  <si>
    <t>Percent of AOI</t>
  </si>
  <si>
    <t>Totals for Area of Interest</t>
  </si>
  <si>
    <t>Summary by Map Unit — Blue Earth County, Minnesota (MN013)</t>
  </si>
  <si>
    <t>Map unit symbol</t>
  </si>
  <si>
    <t>Map unit name</t>
  </si>
  <si>
    <t>Dassel loam</t>
  </si>
  <si>
    <t>Darfur loam</t>
  </si>
  <si>
    <t>A</t>
  </si>
  <si>
    <t>Cubic Feet</t>
  </si>
  <si>
    <t>Determination of the Critical Stream Cubic Feet per Second Goal</t>
  </si>
  <si>
    <t>user will enter the USGS document entitled:</t>
  </si>
  <si>
    <t xml:space="preserve">Techniques for Estimating the Magnitude and Frequency of Peak Flows </t>
  </si>
  <si>
    <t xml:space="preserve">on Small Streams in Minnesota Based on Data through Water Year 2005 </t>
  </si>
  <si>
    <t>Scientific Investigations Report 2009-5250, 2010.</t>
  </si>
  <si>
    <t>Accessed on line September 10, 2014 at:</t>
  </si>
  <si>
    <t>http://pubs.usgs.gov/sir/2009/5250/pdf/sir2009-5250.pdf</t>
  </si>
  <si>
    <t>The user begins by locating the closest monitoring station downstream of the BMP being installed.</t>
  </si>
  <si>
    <t>Figure 1 from the USGS document is a map that depicts locations of monitoring stations and</t>
  </si>
  <si>
    <t xml:space="preserve">Once the appropriate station is selected, the user locates the station in Table 1 of the USGS </t>
  </si>
  <si>
    <t xml:space="preserve">document beginning on page 20.  The table is organized by the Figure 1 map identification </t>
  </si>
  <si>
    <t>number for the stations.</t>
  </si>
  <si>
    <t xml:space="preserve">For example, the Watonwan River monitoring station near Garden City identification </t>
  </si>
  <si>
    <t>number is 211.</t>
  </si>
  <si>
    <t xml:space="preserve">Table 1 provides the station number, location description, station's period of record and </t>
  </si>
  <si>
    <t>User Inputs:</t>
  </si>
  <si>
    <t>Watershed of concern</t>
  </si>
  <si>
    <t>Name:</t>
  </si>
  <si>
    <t>Watonwan River</t>
  </si>
  <si>
    <t>Station Number:</t>
  </si>
  <si>
    <t>Watershed reduction goal</t>
  </si>
  <si>
    <t>reduction of the</t>
  </si>
  <si>
    <t>2-yr</t>
  </si>
  <si>
    <t>Station ID</t>
  </si>
  <si>
    <t>1.5-yr</t>
  </si>
  <si>
    <t>5-yr</t>
  </si>
  <si>
    <t>10-yr</t>
  </si>
  <si>
    <t>25-yr</t>
  </si>
  <si>
    <t>50-yr</t>
  </si>
  <si>
    <t>100-yr</t>
  </si>
  <si>
    <t>500-yr</t>
  </si>
  <si>
    <t>Flows in cubic feet per second</t>
  </si>
  <si>
    <t>Water storage goal for the watershed (converted to a daily value)</t>
  </si>
  <si>
    <t>Stream Flow Reduction</t>
  </si>
  <si>
    <t>Cubic feet per second</t>
  </si>
  <si>
    <t>Daily</t>
  </si>
  <si>
    <t>cubic feet</t>
  </si>
  <si>
    <t>acre-feet</t>
  </si>
  <si>
    <t>Example of User Inputs:</t>
  </si>
  <si>
    <t xml:space="preserve">http://hdsc.nws.noaa.gov/hdsc/pfds/pfds_map_cont.html?bkmrk=mn  </t>
  </si>
  <si>
    <t>S =</t>
  </si>
  <si>
    <t>Description</t>
  </si>
  <si>
    <t>Value</t>
  </si>
  <si>
    <t>Unit</t>
  </si>
  <si>
    <t>(acres)</t>
  </si>
  <si>
    <t xml:space="preserve">Runoff  = </t>
  </si>
  <si>
    <t>(cubic feet/acre)</t>
  </si>
  <si>
    <t>Site Runoff  =</t>
  </si>
  <si>
    <t>(acre-feet)</t>
  </si>
  <si>
    <t>developed a hydrology model for runoff entitled: Urban Hydrology for Small Watersheds, TR-55.</t>
  </si>
  <si>
    <t>http://www.nrcs.usda.gov/Internet/FSE_DOCUMENTS/stelprdb1044171.pdf</t>
  </si>
  <si>
    <t>http://www.dot.state.mn.us/bridge/hydraulics/drainagemanual.html</t>
  </si>
  <si>
    <t>Rating</t>
  </si>
  <si>
    <t>A/D</t>
  </si>
  <si>
    <t>B/D</t>
  </si>
  <si>
    <t>Product of          CN x AOI</t>
  </si>
  <si>
    <t>Row Crop (SR, Poor)</t>
  </si>
  <si>
    <t>B</t>
  </si>
  <si>
    <t>Before Condition Curve Number:</t>
  </si>
  <si>
    <t xml:space="preserve">Based on the watershed management goals for the appropriate downstream flow monitoring gage, the </t>
  </si>
  <si>
    <t>Introduction</t>
  </si>
  <si>
    <t>This workbook is designed to calculate the water storage benefits associated with implementing</t>
  </si>
  <si>
    <t>Background</t>
  </si>
  <si>
    <t>Improved water storage can provide many benefits, including flood control, increased channel stability,</t>
  </si>
  <si>
    <t>and enhanced efficacy of downstream BMPs. However, measuring these benefits requires a clear, well-defined goal.</t>
  </si>
  <si>
    <t>Defining this goal varies based on setting characteristics and the water quantity issue being addressed.</t>
  </si>
  <si>
    <t>In general, establishing a goal should consider:</t>
  </si>
  <si>
    <t>1. The size, linear extent, and upstream flow (rates and volume) contributing to the issue</t>
  </si>
  <si>
    <t>2. Available downstream monitoring stations and long-term records</t>
  </si>
  <si>
    <t>3. Appropriate watershed scale for managing the desired outcome</t>
  </si>
  <si>
    <t>Based on these considerations, the assessment of future benefits associated with enhanced upland characteristics</t>
  </si>
  <si>
    <t>for water storage should be grounded on an agreed-upon baseline. A clearly defined and well-communicated</t>
  </si>
  <si>
    <t>objective is vital for generating meaningful assessments of water storage benefits and tracking progress</t>
  </si>
  <si>
    <t>toward environmental goals. A clear and concise objective clarifies the desired performance characteristics</t>
  </si>
  <si>
    <t>and provides a benchmark managers can use to generate a meaningful measure of progress.</t>
  </si>
  <si>
    <t>Water Storage Benefit Calculations</t>
  </si>
  <si>
    <t>The first step in calculating water storage benefits is to define the water storage goal.</t>
  </si>
  <si>
    <t>This step is performed in the "Watershed Storage Goal" tab of this workbook.</t>
  </si>
  <si>
    <t>The user will enter information provided in a U.S. Geological Survey (USGS) document</t>
  </si>
  <si>
    <t>entitled: Techniques for Estimating the Magnitude and Frequency of Peak Flows on</t>
  </si>
  <si>
    <t>Small Streams in Minnesota Based on Data through Water Year 2005 (USGS, 2010).</t>
  </si>
  <si>
    <t>The second step is to determine the precipitation amount.</t>
  </si>
  <si>
    <t>This step is performed in the "Selecting Precipitation Amount" tab of this workbook.</t>
  </si>
  <si>
    <t>The user will gather precipitation data from the National Oceanic and Atmospheric Administration (NOAA)</t>
  </si>
  <si>
    <t>Precipitation Frequency Data Server (NOAA, 2013) and enter the appropriate rainfall information for the</t>
  </si>
  <si>
    <t>storm event that corresponds with the selected watershed storage goal.</t>
  </si>
  <si>
    <t>The fourth step is to review the water storage benefit results.</t>
  </si>
  <si>
    <t xml:space="preserve">This worksheet calculates the difference in runoff between the "Before BMP" and </t>
  </si>
  <si>
    <t xml:space="preserve">MPCA (2014) Sediment Reduction Strategy for the Minnesota River and South Metro Mississippi River.  </t>
  </si>
  <si>
    <t xml:space="preserve">NOAA (2013) Precipitation Frequency Data Server. </t>
  </si>
  <si>
    <t xml:space="preserve">USDA NRCS (1986)  Urban Hydrology for Small Watersheds, TR-55. Conservation Engineering Division Technical Release 55.  June 1986. </t>
  </si>
  <si>
    <t xml:space="preserve">USGS (2010) Techniques for Estimating the Magnitude and Frequency of Peak Flows on Small Streams in Minnesota Based on Data through Water Year 2005 Scientific Investigations Report 2009-5250, 2010. </t>
  </si>
  <si>
    <t>Determination of Appropriate Precipitation Amount for Water Storage Goal</t>
  </si>
  <si>
    <t xml:space="preserve">Prediction of the frequency, magnitude and duration of precipitation events the generate predictable stream and </t>
  </si>
  <si>
    <t xml:space="preserve">of Transportation Drainage Manual (MNDoT, 2000) in section 3.3 correlates rainfalls of a certain frequency with </t>
  </si>
  <si>
    <t xml:space="preserve">floods of the same frequency. </t>
  </si>
  <si>
    <t>1) Use the National Ocean and Atmospheric Administration (NOAA) Precipitation Frequency Data Server, available at:</t>
  </si>
  <si>
    <t xml:space="preserve">1a) Using the interactive map and cross hair curser, magnify the map and place the cross hairs as close to </t>
  </si>
  <si>
    <t>the location of the field as possible.</t>
  </si>
  <si>
    <t xml:space="preserve">1b)  The Precipitation Data Server will produce a table of Precipitation Frequencies specific for the field based </t>
  </si>
  <si>
    <t>on local weather records (Example Table shown in Figure 8).  Capture the data for the 24 hour duration row.</t>
  </si>
  <si>
    <t xml:space="preserve">The watershed goal selected is for the </t>
  </si>
  <si>
    <t>by the user in the Watershed Storage Goal spreadsheet.)</t>
  </si>
  <si>
    <t>2)  Enter the 24-hour duration storm event for the appropriate recurrence interval (e.g., the 24-hr,</t>
  </si>
  <si>
    <t>2-yr storm frequency precipitation estimate is 2.92 inches).</t>
  </si>
  <si>
    <t>The Web Soil Survey will provide information on the acreage in each soil classification and the hydrologic soil group for each soil.</t>
  </si>
  <si>
    <t>Enlarge the image so the contributing area fills the view to the fullest extent possible</t>
  </si>
  <si>
    <t>C/D</t>
  </si>
  <si>
    <t>69B</t>
  </si>
  <si>
    <t>Fedji loamy fine sand, 3 to 8 percent slopes</t>
  </si>
  <si>
    <t>Okoboji silty clay loam</t>
  </si>
  <si>
    <t>Madelia silty clay loam, 0 to 2 percent slopes</t>
  </si>
  <si>
    <t>Spicer silty clay loam</t>
  </si>
  <si>
    <t>Fieldon loam</t>
  </si>
  <si>
    <t>Litchfield loamy fine sand, 1 to 3 percent slopes</t>
  </si>
  <si>
    <t>222B</t>
  </si>
  <si>
    <t>Lasa fine sand, 2 to 8 percent slopes</t>
  </si>
  <si>
    <t>1801B</t>
  </si>
  <si>
    <t>Grogan loamy fine sand, 2 to 6 percent slopes</t>
  </si>
  <si>
    <t>The document describes a comprehensive method for determining small watershed runoff dynamics</t>
  </si>
  <si>
    <t>The curve number calculation procedures can be applied to:</t>
  </si>
  <si>
    <t>Step 2. Collect Field Data using the USDA NRCS Web Soil Survey</t>
  </si>
  <si>
    <t>2a)  Once at the site, push the green start button</t>
  </si>
  <si>
    <t>2b) Input the State and County location for the BMP project on the Area of Interest (AOI) tab</t>
  </si>
  <si>
    <t>2c)  Locate the specific parcel on the aerial photo using the magnification and hand grab buttons</t>
  </si>
  <si>
    <t>2d) Zoom in on the contributing area served by the BMP</t>
  </si>
  <si>
    <t>2e) Delineate the contributing area of the BMP using the AOI button</t>
  </si>
  <si>
    <t>2f) Click the soil map tab located above the Area of Interest Interactive Map</t>
  </si>
  <si>
    <t>2g) Select the Soil Data Explorer tab and then the Soil Properties and Qualities tab</t>
  </si>
  <si>
    <t>2h) In the "Properties and Qualities Ratings" menu, select Soil Qualities and Features, then select Hydrologic Soil Group</t>
  </si>
  <si>
    <t>C</t>
  </si>
  <si>
    <t xml:space="preserve">2k)  Record the Total Area of Interest (Acres):  </t>
  </si>
  <si>
    <t xml:space="preserve">Soil map with overlay of subsurface drainage </t>
  </si>
  <si>
    <t>For documentation on how to apply the TR-55 approach, refer to the NRCS TR-55 manual, which can be downloaded at:</t>
  </si>
  <si>
    <t>3a) Subdivide the Web Soil Survey results where they indicate two possible soil groups (e.g., B/D)</t>
  </si>
  <si>
    <t>The user should take into account whether the field has subsurface drainage.</t>
  </si>
  <si>
    <t>If the field is completely pattern tiled, soil group "B" will be applied.</t>
  </si>
  <si>
    <t>If the field has no subsurface drainage, soil group "D" will be applied.</t>
  </si>
  <si>
    <t>If the field is partially tiled, the user will adjust the results based on instructions in Step 3b.</t>
  </si>
  <si>
    <t>3b) Subdivide the Web Soil Survey results based on the estimate of tiled areas</t>
  </si>
  <si>
    <t>Overlay an approximation of the drainage pattern on the soil map. (See figure at right)</t>
  </si>
  <si>
    <t>Estimate the relative portion of each soil group that is drained.</t>
  </si>
  <si>
    <t>Apply this estimate to the % AOI for that soil group.</t>
  </si>
  <si>
    <t>3c) Populate columns (A), (B), (C) and (F) of Table 2 based on the Web Soil Survey results, adjusted for tiling information</t>
  </si>
  <si>
    <t>3d) Populate column (D) of Table 2 based on land use information.</t>
  </si>
  <si>
    <t>Identify the cover type, treatment, and hydrologic condition based on tables provided in the USDA NRCS TR-55 documentation.</t>
  </si>
  <si>
    <t>The tables of interest for this step are Table 2-2b, 2-2c, and 2-2d (USDA NRCS, 1986).</t>
  </si>
  <si>
    <t xml:space="preserve">3e) Select the appropriate curve number for the vegetative cover type, treatment, and hydrologic condition </t>
  </si>
  <si>
    <t>Use the tables provided in the USDA NRCS TR-55 documentation.</t>
  </si>
  <si>
    <t>3f) Enter the selected curve numbers into column (E) of Table 2.</t>
  </si>
  <si>
    <t>(A) 
Soil Map Symbol</t>
  </si>
  <si>
    <t>(C)
Hydrologic Soil Group Rating</t>
  </si>
  <si>
    <t>(D)
Cover type, treatment and hydrologic condition</t>
  </si>
  <si>
    <t>(E)
Curve Number</t>
  </si>
  <si>
    <t>(F)
% AOI</t>
  </si>
  <si>
    <t>Step 3. Evaluate Runoff Conditions</t>
  </si>
  <si>
    <t>acres</t>
  </si>
  <si>
    <t>Selected precipitation amount from "Selecting Precipitation Amount" worksheet</t>
  </si>
  <si>
    <t>inches.</t>
  </si>
  <si>
    <t>Determination of Water Storage Benefits at the Watershed Scale</t>
  </si>
  <si>
    <t>best management practices (BMPs) that capture and store water in above ground structures.</t>
  </si>
  <si>
    <t>These practices consist of impoundments such as wetlands, water and sediment control basins (WASCOB) and ponds.</t>
  </si>
  <si>
    <t>The third step involves calculating the runoff that is captured in the above ground structure</t>
  </si>
  <si>
    <t>This step applies the user estimates of the volume of water captured when the storage structure</t>
  </si>
  <si>
    <t>1) Creation or restoration of wetlands</t>
  </si>
  <si>
    <t>2) Water and Sediment Control Basins (WASCOB)</t>
  </si>
  <si>
    <t>3) Detention Basins</t>
  </si>
  <si>
    <t>Step 1. Select Contributing Area Land Use</t>
  </si>
  <si>
    <t>Commercial districts</t>
  </si>
  <si>
    <t>Impervious areas</t>
  </si>
  <si>
    <t>Urban open space</t>
  </si>
  <si>
    <t>Industrial districts</t>
  </si>
  <si>
    <t>Residential districts (1/8 acre or less)</t>
  </si>
  <si>
    <t>Residential districts (1/4 acre)</t>
  </si>
  <si>
    <t>Residential districts (1/3 acre)</t>
  </si>
  <si>
    <t>Residential districts (1/2 acre)</t>
  </si>
  <si>
    <t>Residential districts (1 acre)</t>
  </si>
  <si>
    <t>Residential districts (2 acres)</t>
  </si>
  <si>
    <t>Idle lands</t>
  </si>
  <si>
    <t>Fallow</t>
  </si>
  <si>
    <t>Row crops</t>
  </si>
  <si>
    <t>Small grain</t>
  </si>
  <si>
    <t>Close-seeded or legumes or meadow</t>
  </si>
  <si>
    <t>Pasture, grassland, range</t>
  </si>
  <si>
    <t>Meadow</t>
  </si>
  <si>
    <t>Brush</t>
  </si>
  <si>
    <t>Woods - grass</t>
  </si>
  <si>
    <t>Woods</t>
  </si>
  <si>
    <t>Farmsteads</t>
  </si>
  <si>
    <t>Enter Land Use Description:</t>
  </si>
  <si>
    <t>Surface impoundments can intercept and hold back runoff flows for short durations to dampen</t>
  </si>
  <si>
    <t>hydrographs.  In addition, when adequate capacity exists surface impoundments can redirect</t>
  </si>
  <si>
    <t>water volumes into different flow paths.  Example flow paths are:</t>
  </si>
  <si>
    <t>Shallow groundwater and/or interflow</t>
  </si>
  <si>
    <t>Evapotranspiration</t>
  </si>
  <si>
    <t>Deep groundwater infiltration</t>
  </si>
  <si>
    <t>impoundment storage capacity to determine the water storage benefits at the site and downstream.</t>
  </si>
  <si>
    <t>Determining the Flow to Upland Impoundments and Structural Water Storage BMPs</t>
  </si>
  <si>
    <t>Determining the Upland Impoundments or Structural BMP Water Storage Capacity</t>
  </si>
  <si>
    <t xml:space="preserve">To determine the water storage capacity of a surface impoundment structures the pool volume must </t>
  </si>
  <si>
    <t>and design drawings of storm ponds or WASCOBs.</t>
  </si>
  <si>
    <t>to use construction as-built plans or design drawings.  To estimate the water storage capacity of the</t>
  </si>
  <si>
    <t>surface impoundment structure, the conservationist must determine:</t>
  </si>
  <si>
    <t>elevation in feet</t>
  </si>
  <si>
    <t>capacity effluent structure such as a weir or bypass pipe</t>
  </si>
  <si>
    <t>2.  Maximum elevation of the impoundment prior to overflowing into a spillway or larger</t>
  </si>
  <si>
    <t>Depth of water storage pool:</t>
  </si>
  <si>
    <t>Depth of Water Storage</t>
  </si>
  <si>
    <t>Area (sq. ft.)</t>
  </si>
  <si>
    <t>Acre-feet of Storage</t>
  </si>
  <si>
    <t>Plans</t>
  </si>
  <si>
    <t>Surveyed</t>
  </si>
  <si>
    <t>Estimated</t>
  </si>
  <si>
    <t>Site Water Storage Capacity</t>
  </si>
  <si>
    <t>Table 1. Cut-and-Paste capture of field unit symbols, names, acres and percent of AOI.</t>
  </si>
  <si>
    <t xml:space="preserve">based on land use cover and management.  This process will be used in conjunction with the surface </t>
  </si>
  <si>
    <t>(B)
Map Unit Name</t>
  </si>
  <si>
    <t xml:space="preserve">In order to quantify the water storage benefits for a surface impoundment that alters the amount of surface </t>
  </si>
  <si>
    <t xml:space="preserve">runoff leaving a field, the TR-55 model must be run.  </t>
  </si>
  <si>
    <t>Table 2. Contributing area runoff curve number determination</t>
  </si>
  <si>
    <t>Step 4. Determination of Runoff Amount</t>
  </si>
  <si>
    <t>Contributing area to the surface impoundment.  (This is the total area of interest in Table 1)</t>
  </si>
  <si>
    <t>Calculation of runoff using the TR-55 estimation equations is as follows:</t>
  </si>
  <si>
    <t>Contributing Area =</t>
  </si>
  <si>
    <t>Total runoff for the surface impoundment:</t>
  </si>
  <si>
    <t>Table 3.  Total Runoff Summary.</t>
  </si>
  <si>
    <t>Because bathymetric maps and topographic surveys are expensive to create in filled pools it is recommended</t>
  </si>
  <si>
    <t>4.  Are the measurements from plans, surveyed or estimated?</t>
  </si>
  <si>
    <t>Water Storage Summary</t>
  </si>
  <si>
    <t>Even Contours?</t>
  </si>
  <si>
    <t>General Information</t>
  </si>
  <si>
    <t>BMP Selected</t>
  </si>
  <si>
    <t>Input Data</t>
  </si>
  <si>
    <t xml:space="preserve"> 24-hour duration storm event</t>
  </si>
  <si>
    <t>Contributing area to surface impoundment</t>
  </si>
  <si>
    <t>Maximum Elevation 1</t>
  </si>
  <si>
    <t>Maximum Elevation 2</t>
  </si>
  <si>
    <t>Results Data</t>
  </si>
  <si>
    <t>BMPs</t>
  </si>
  <si>
    <t>WASCOB</t>
  </si>
  <si>
    <t>Urban Storm Water Impoundment (Retention Basin)</t>
  </si>
  <si>
    <t>Watershed of Concern</t>
  </si>
  <si>
    <t>Station Number</t>
  </si>
  <si>
    <t>Name of Land Owner / Manager</t>
  </si>
  <si>
    <t>Mailing Address</t>
  </si>
  <si>
    <t xml:space="preserve">Watershed Reduction Goal </t>
  </si>
  <si>
    <t>Wetland (Creation)</t>
  </si>
  <si>
    <t>Wetland (Restoration)</t>
  </si>
  <si>
    <t xml:space="preserve">1.  Maximum elevation of the permanent wet pool </t>
  </si>
  <si>
    <t>be determined. Sources of accurate pool dimensions can come from bathymetric maps of large wetlands,</t>
  </si>
  <si>
    <t>3.  In two-foot increments determine the spatial footprint of the pool in square feet</t>
  </si>
  <si>
    <t>The method requires the user to input the average permanent pool elevation and maximum pool elevations.</t>
  </si>
  <si>
    <t>In addition, the side slopes of the above ground feature and permanent pool square footage will need to be estimated.</t>
  </si>
  <si>
    <t>These measurements are most accurate when completed using a bathymetric map.  But an estimated volume can</t>
  </si>
  <si>
    <t>be entered by using approximate dimensions when an adequate margin of safety is applied.</t>
  </si>
  <si>
    <t>inches of precipitation.</t>
  </si>
  <si>
    <t xml:space="preserve">In urban settings the soil classification may already be disturbed.  Caution should be taken applying these </t>
  </si>
  <si>
    <t>ratings in disturbed areas.</t>
  </si>
  <si>
    <t>Recurrence Interval</t>
  </si>
  <si>
    <t>peak-flow cfs for the  1.5, 2, 5, 10, 25, 50, 100 and 500 year recurrence intervals.</t>
  </si>
  <si>
    <t>recurrence interval</t>
  </si>
  <si>
    <t>river recurrence intervals is an inexact science.  However, for protection design criteria the Minnesota Department</t>
  </si>
  <si>
    <t>-yr recurrence interval</t>
  </si>
  <si>
    <t xml:space="preserve">-yr recurrence interval.  (This information was selected </t>
  </si>
  <si>
    <t>Recurrence Interval (years)</t>
  </si>
  <si>
    <t xml:space="preserve">The website is located at:  </t>
  </si>
  <si>
    <t xml:space="preserve">http://websoilsurvey.sc.egov.usda.gov/App/HomePage.htm </t>
  </si>
  <si>
    <t>2j) Copy the summary table and paste the soil data into the green cells below, and be sure to erase any existing data below</t>
  </si>
  <si>
    <t>experiences increased volume from precipitation and then slowly bleeds off or contains that volume until infiltration</t>
  </si>
  <si>
    <t>or evapotranspiration drains the system.  See tab "TR-55 Runoff Estimation" for this step.</t>
  </si>
  <si>
    <t>The results will be calculated in the "Surface Impoundment Inputs" tab of this workbook.</t>
  </si>
  <si>
    <t>A summary of the inputs and the results will be displayed in the "Site Water Storage Benefit" tab of this workbook.</t>
  </si>
  <si>
    <t>Bibliography</t>
  </si>
  <si>
    <t xml:space="preserve">MnDOT (2000) Drainage Manual.  Office of Bridges and Structures.  August 2000. Section 3.3. </t>
  </si>
  <si>
    <t xml:space="preserve">USDA NRCS (2007)  National Engineering Handbook Part 630 Hydrology, Chapter 7 Hydrologic Soil Groups. (210–VI–NEH, May 2007) </t>
  </si>
  <si>
    <t>http://directives.sc.egov.usda.gov/OpenNonWebContent.aspx?content=17757.wba</t>
  </si>
  <si>
    <t xml:space="preserve">Available online at:  </t>
  </si>
  <si>
    <t xml:space="preserve">Available online at: </t>
  </si>
  <si>
    <t xml:space="preserve">http://www.pca.state.mn.us/index.php/water/water-types-and-programs/minnesotas-impaired-waters-and-tmdls/tmdl-projects/special-projects/sediment-reduction-strategy-for-the-minnesota-river-basin-and-south-metro-mississippi-river.html </t>
  </si>
  <si>
    <t>http://hdsc.nws.noaa.gov/hdsc/pfds/pfds_map_cont.html?bkmrk=mn</t>
  </si>
  <si>
    <t xml:space="preserve">http://www.nrcs.usda.gov/Internet/FSE_DOCUMENTS/stelprdb1044171.pdf </t>
  </si>
  <si>
    <t>the unique station identification number for those sites with estimated peak-flow frequencies.</t>
  </si>
  <si>
    <t>Permanent pool storage</t>
  </si>
  <si>
    <t xml:space="preserve">The Natural Resources Conservation Service (formerly the Soil Conservation Service) </t>
  </si>
  <si>
    <t>2i) Click the View Rating button within the Hydrologic Soil Group menu to generate a table with information about each soil classification</t>
  </si>
  <si>
    <t xml:space="preserve">This document is available online at: </t>
  </si>
  <si>
    <t>(inches/acre)</t>
  </si>
  <si>
    <t>Storage capacity (acre-feet) of the surface impoundment</t>
  </si>
  <si>
    <t>Rainfall amount (inch) within recurrence interval</t>
  </si>
  <si>
    <t>Recurrence interval</t>
  </si>
  <si>
    <t>Runoff volume (acre-feet)</t>
  </si>
  <si>
    <t>Site water storage benefit (acre-feet)</t>
  </si>
  <si>
    <t>Surface Water Impoundment Water Storage Calculation Summary Report</t>
  </si>
  <si>
    <t>changed cell C59 from 700 (in header) to blank; it didn't make sense to me to have it there…</t>
  </si>
  <si>
    <t xml:space="preserve">The site water storage benefits reflect the volume of edge-of-field runoff and/or interflow reduced from </t>
  </si>
  <si>
    <t>the selected rain event (recurrence interval).  The edge-of-field reduction volume estimate may not</t>
  </si>
  <si>
    <t>provide the same benefits as it flows downstream.  Several physical channel characteristics can alter the</t>
  </si>
  <si>
    <t>2) Channel attenuation of flow can occur when certain channel and flood plain physical features are</t>
  </si>
  <si>
    <t xml:space="preserve">1) Time of concentration is a term used to identify the travel time necessary for water to flow from an </t>
  </si>
  <si>
    <t>uppermost point in the watershed down to the point of interest.  The effective time of concentration</t>
  </si>
  <si>
    <t>c) Run-of-the-river lakes, reservoirs and other impoundments</t>
  </si>
  <si>
    <t>present, examples include:</t>
  </si>
  <si>
    <t xml:space="preserve">3) The timing of peak flow for a given location is influenced by many factors inherent to a specific </t>
  </si>
  <si>
    <t>c) Are tributary peak flows synchronized or de-synchronized in a precipitation event?</t>
  </si>
  <si>
    <t>a) Does the storm travel across, downstream or upstream as it moves through the watershed?</t>
  </si>
  <si>
    <t>For the above reasons, and others not mentioned, the accurate prediction of downstream</t>
  </si>
  <si>
    <t xml:space="preserve">1) The number of water storage practices implemented in the watershed are sufficient to create a </t>
  </si>
  <si>
    <t>long-term averages.  Two simplifying assumptions of the valuation standard method include:</t>
  </si>
  <si>
    <t xml:space="preserve">2) Implementation site precipitation recurrence intervals are directly correlated </t>
  </si>
  <si>
    <t xml:space="preserve"> to an equivalent recurrence interval for streamflow (MNDOT, 2000).</t>
  </si>
  <si>
    <t>uniform distribution and even reduction across the watershed.</t>
  </si>
  <si>
    <t>b) How does the storm's magnitude and intensity vary across the watershed?</t>
  </si>
  <si>
    <t>To link the long-term potential site water storage benefit to stream hydrograph reductions, the user</t>
  </si>
  <si>
    <t xml:space="preserve">must first identify the hydrology or watershed model that provided the assessment used when creating </t>
  </si>
  <si>
    <t>the peak flow reduction goal.  In the MPCA Sediment Reduction Strategy (MPCA, 2014) the goal was set</t>
  </si>
  <si>
    <t xml:space="preserve">to assist in achieving the reduction goals identified in a proposed Minnesota River Sediment Total </t>
  </si>
  <si>
    <t xml:space="preserve">model can be assumed to be capable of identifying salient river channel attenuation characteristics. </t>
  </si>
  <si>
    <t>Example Approach</t>
  </si>
  <si>
    <t>Step 1) Identify the modeled river segment related to the selected USGS stream gage used in the</t>
  </si>
  <si>
    <t>Watershed Goal spreadsheet.</t>
  </si>
  <si>
    <t>tributaries.</t>
  </si>
  <si>
    <t>Step 2) Identify a headwaters contributing subwatershed that is representative of most headwaters</t>
  </si>
  <si>
    <t xml:space="preserve">Step 4) Convert 1000 acres or more of row cropping to perennial grasses in the headwaters </t>
  </si>
  <si>
    <t>subwatershed</t>
  </si>
  <si>
    <t>headwaters and progressing down to the selected reach with the USGS monitoring station in question.</t>
  </si>
  <si>
    <t>starting with the headwaters down to the selected reach with the USGS monitoring station.</t>
  </si>
  <si>
    <t>Step 6) Format each output file to provide monthly and annual sums.</t>
  </si>
  <si>
    <t xml:space="preserve">It is important to note that the change in water storage benefit calculated is for a typical event during </t>
  </si>
  <si>
    <t>that would occur during the spring and summer periods after snow melt.  Therefore, the hydraulic model</t>
  </si>
  <si>
    <t>periods of winter thaw and/or where shallow groundwater interflow to streams exceeds the surface</t>
  </si>
  <si>
    <t xml:space="preserve">example, a switch from row crop to perennial grass may increase runoff estimates (from HSPF) during </t>
  </si>
  <si>
    <t xml:space="preserve">increases to baseflow events provides more aquatic life habitat and increased opportunities for </t>
  </si>
  <si>
    <t xml:space="preserve">certain pollutant parameters to be assimilated.  Therefore, checking for channel attenuation is best </t>
  </si>
  <si>
    <t>completed when using longer time periods such as monthly sums.</t>
  </si>
  <si>
    <t>Baseline (calibration modeling scenario)</t>
  </si>
  <si>
    <t>Timeseries List</t>
  </si>
  <si>
    <t>Baseline</t>
  </si>
  <si>
    <t>Constituent</t>
  </si>
  <si>
    <t>ROVOL</t>
  </si>
  <si>
    <t>History 1</t>
  </si>
  <si>
    <t>from HrlyFlowrchBslnA.hbn</t>
  </si>
  <si>
    <t>from HrlyFlowrchBslnB.hbn</t>
  </si>
  <si>
    <t>from HrlyFlowrchBslnC.hbn</t>
  </si>
  <si>
    <t>Location</t>
  </si>
  <si>
    <t>R:11</t>
  </si>
  <si>
    <t>R:13</t>
  </si>
  <si>
    <t>R:30</t>
  </si>
  <si>
    <t>R:50</t>
  </si>
  <si>
    <t>R:70</t>
  </si>
  <si>
    <t>R:90</t>
  </si>
  <si>
    <t>R:110</t>
  </si>
  <si>
    <t>R:150</t>
  </si>
  <si>
    <t>R:170</t>
  </si>
  <si>
    <t>R:210</t>
  </si>
  <si>
    <t>R:230</t>
  </si>
  <si>
    <t>R:270</t>
  </si>
  <si>
    <t>R:290</t>
  </si>
  <si>
    <t>R:310</t>
  </si>
  <si>
    <t>Max</t>
  </si>
  <si>
    <t>Mean</t>
  </si>
  <si>
    <t>Min</t>
  </si>
  <si>
    <t>Land Conversion (1000 acres of row crops switched to perennial grass)</t>
  </si>
  <si>
    <t>Time series List</t>
  </si>
  <si>
    <t>Land Conversion</t>
  </si>
  <si>
    <t>from HrlyFlowrchGlCnA.hbn</t>
  </si>
  <si>
    <t>from HrlyFlowrchGlCnB.hbn</t>
  </si>
  <si>
    <t>from HrlyFlowrchGlCnC.hbn</t>
  </si>
  <si>
    <t>Step 7) Beginning with the annual yearly totals determine the difference in flow for each reach.  The</t>
  </si>
  <si>
    <t>tables below are an actual illustration of this step based on the HSPF model results for Watonwan River.</t>
  </si>
  <si>
    <t>Water Volume Attenuation Estimate (Difference between baseline and land use change scenarios)</t>
  </si>
  <si>
    <t>Year</t>
  </si>
  <si>
    <t>Annual Water Storage Benefit</t>
  </si>
  <si>
    <t>Model Reach</t>
  </si>
  <si>
    <t>year and the perennial grass switched the flow path to interflow which was routed through the</t>
  </si>
  <si>
    <t xml:space="preserve">A few key points to note:  </t>
  </si>
  <si>
    <t>1) The change in estimated flow remains consistent through each reach downstream (except for</t>
  </si>
  <si>
    <t>2)  There is an increase in flow during 2002, Which can be expected considering that 2001 was a flood</t>
  </si>
  <si>
    <t>size and timing of the volume for locations downstream. A partial list of these factors includes:</t>
  </si>
  <si>
    <t xml:space="preserve">a) A losing or gaining reach, where permeable soils transfer stream flows to or from groundwater </t>
  </si>
  <si>
    <t>b) Flood plain terraces, features that capture water and hold it after the peak hydrograph recedes</t>
  </si>
  <si>
    <t>event's characteristics and associated prior precipitation events:</t>
  </si>
  <si>
    <t xml:space="preserve">However, the purpose of a valuation standard is to provide a relatively easy-to-use estimate of </t>
  </si>
  <si>
    <t xml:space="preserve">that is used to govern the water storage goal may provide increases in flow during the off season.  For </t>
  </si>
  <si>
    <t>runoff.  These changes in flow path may very well enhance the desired objective.  Commonly,</t>
  </si>
  <si>
    <t>will vary depending on the farm site's location in the watershed's tributary network.</t>
  </si>
  <si>
    <t xml:space="preserve">d) What are the effects of antecedent moisture conditions and the short-term previous rainfall history </t>
  </si>
  <si>
    <t xml:space="preserve">   on the surface and soil infiltration rates, interflow according to the remaining pit, micro and macro pore capacity?</t>
  </si>
  <si>
    <t xml:space="preserve">peak flow reduction is not consistent or readily predicable for a precipitation recurrence interval event. </t>
  </si>
  <si>
    <t xml:space="preserve">Maximum Daily Load study (TMDL).  The proposed TMDL is based, in part, on the watershed assessment </t>
  </si>
  <si>
    <t>model, Hydrologic Simulation Program -- Fortran (HSPF).  Therefore, the hydrology assumptions used in this</t>
  </si>
  <si>
    <t xml:space="preserve">watershed at a much slower rate.  </t>
  </si>
  <si>
    <t xml:space="preserve">Step 3) Run a calibration HSPF model scenario; the output request is for daily flow results for each reach </t>
  </si>
  <si>
    <t>Step 5) Rerun the HSPF model; the output request is for daily flow results for each reach starting with the</t>
  </si>
  <si>
    <t>what appears to be a minor rounding error).  There is no estimated water attenuation in this river, as</t>
  </si>
  <si>
    <t>the BMP explains the entire altered flow amound.</t>
  </si>
  <si>
    <t>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</si>
</sst>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_(* #,##0.000_);_(* \(#,##0.000\);_(* &quot;-&quot;???_);_(@_)"/>
    <numFmt numFmtId="169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1"/>
      <color theme="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4E0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bgColor theme="9" tint="0.39994506668294322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67">
    <xf numFmtId="0" fontId="0" fillId="0" borderId="0" xfId="0"/>
    <xf numFmtId="0" fontId="0" fillId="2" borderId="1" xfId="0" applyFill="1" applyBorder="1"/>
    <xf numFmtId="165" fontId="2" fillId="2" borderId="2" xfId="1" applyNumberFormat="1" applyFont="1" applyFill="1" applyBorder="1"/>
    <xf numFmtId="165" fontId="2" fillId="2" borderId="3" xfId="1" applyNumberFormat="1" applyFont="1" applyFill="1" applyBorder="1"/>
    <xf numFmtId="165" fontId="2" fillId="2" borderId="4" xfId="1" applyNumberFormat="1" applyFont="1" applyFill="1" applyBorder="1"/>
    <xf numFmtId="0" fontId="0" fillId="2" borderId="5" xfId="0" applyFill="1" applyBorder="1"/>
    <xf numFmtId="9" fontId="2" fillId="2" borderId="5" xfId="6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0" xfId="0" applyFill="1"/>
    <xf numFmtId="0" fontId="6" fillId="4" borderId="0" xfId="0" applyFont="1" applyFill="1"/>
    <xf numFmtId="0" fontId="4" fillId="4" borderId="0" xfId="0" applyFont="1" applyFill="1"/>
    <xf numFmtId="0" fontId="0" fillId="4" borderId="0" xfId="0" applyFill="1" applyAlignment="1">
      <alignment horizontal="right"/>
    </xf>
    <xf numFmtId="0" fontId="0" fillId="5" borderId="7" xfId="0" applyFill="1" applyBorder="1" applyAlignment="1"/>
    <xf numFmtId="0" fontId="0" fillId="5" borderId="8" xfId="0" applyFill="1" applyBorder="1"/>
    <xf numFmtId="0" fontId="0" fillId="5" borderId="9" xfId="0" applyFill="1" applyBorder="1"/>
    <xf numFmtId="165" fontId="2" fillId="5" borderId="9" xfId="1" applyNumberFormat="1" applyFont="1" applyFill="1" applyBorder="1" applyAlignment="1"/>
    <xf numFmtId="0" fontId="0" fillId="5" borderId="10" xfId="0" applyFill="1" applyBorder="1"/>
    <xf numFmtId="0" fontId="0" fillId="5" borderId="11" xfId="0" applyFill="1" applyBorder="1"/>
    <xf numFmtId="43" fontId="2" fillId="5" borderId="11" xfId="1" applyFont="1" applyFill="1" applyBorder="1" applyAlignment="1"/>
    <xf numFmtId="0" fontId="0" fillId="0" borderId="0" xfId="0"/>
    <xf numFmtId="0" fontId="0" fillId="4" borderId="0" xfId="0" applyFill="1"/>
    <xf numFmtId="0" fontId="4" fillId="4" borderId="0" xfId="0" applyFont="1" applyFill="1"/>
    <xf numFmtId="0" fontId="7" fillId="4" borderId="0" xfId="0" applyFont="1" applyFill="1"/>
    <xf numFmtId="0" fontId="4" fillId="6" borderId="5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  <xf numFmtId="0" fontId="8" fillId="4" borderId="0" xfId="0" applyFont="1" applyFill="1"/>
    <xf numFmtId="0" fontId="0" fillId="5" borderId="1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4" fillId="5" borderId="12" xfId="0" applyFont="1" applyFill="1" applyBorder="1" applyAlignment="1">
      <alignment horizontal="center" wrapText="1"/>
    </xf>
    <xf numFmtId="0" fontId="4" fillId="5" borderId="14" xfId="0" applyFont="1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43" fontId="4" fillId="7" borderId="12" xfId="0" applyNumberFormat="1" applyFont="1" applyFill="1" applyBorder="1" applyAlignment="1">
      <alignment horizontal="center" vertical="center"/>
    </xf>
    <xf numFmtId="43" fontId="4" fillId="7" borderId="15" xfId="0" applyNumberFormat="1" applyFont="1" applyFill="1" applyBorder="1" applyAlignment="1">
      <alignment horizontal="center" vertical="center"/>
    </xf>
    <xf numFmtId="0" fontId="0" fillId="7" borderId="8" xfId="0" applyFill="1" applyBorder="1"/>
    <xf numFmtId="0" fontId="0" fillId="7" borderId="13" xfId="0" applyFill="1" applyBorder="1"/>
    <xf numFmtId="0" fontId="0" fillId="7" borderId="10" xfId="0" applyFill="1" applyBorder="1"/>
    <xf numFmtId="0" fontId="0" fillId="7" borderId="16" xfId="0" applyFill="1" applyBorder="1"/>
    <xf numFmtId="0" fontId="4" fillId="7" borderId="16" xfId="0" applyFont="1" applyFill="1" applyBorder="1" applyAlignment="1">
      <alignment horizontal="right"/>
    </xf>
    <xf numFmtId="0" fontId="0" fillId="7" borderId="17" xfId="0" applyFill="1" applyBorder="1"/>
    <xf numFmtId="0" fontId="0" fillId="7" borderId="0" xfId="0" applyFill="1" applyBorder="1"/>
    <xf numFmtId="0" fontId="4" fillId="7" borderId="0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center"/>
    </xf>
    <xf numFmtId="165" fontId="4" fillId="7" borderId="18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0" fillId="4" borderId="0" xfId="0" applyFill="1" applyBorder="1"/>
    <xf numFmtId="0" fontId="4" fillId="4" borderId="0" xfId="0" applyFont="1" applyFill="1" applyBorder="1"/>
    <xf numFmtId="0" fontId="7" fillId="4" borderId="0" xfId="0" applyFont="1" applyFill="1" applyBorder="1"/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/>
    </xf>
    <xf numFmtId="43" fontId="4" fillId="4" borderId="0" xfId="1" applyNumberFormat="1" applyFont="1" applyFill="1" applyBorder="1" applyAlignment="1">
      <alignment horizontal="center" vertical="center"/>
    </xf>
    <xf numFmtId="43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4" fillId="4" borderId="8" xfId="0" applyFont="1" applyFill="1" applyBorder="1"/>
    <xf numFmtId="0" fontId="0" fillId="4" borderId="13" xfId="0" applyFill="1" applyBorder="1"/>
    <xf numFmtId="0" fontId="0" fillId="4" borderId="9" xfId="0" applyFill="1" applyBorder="1"/>
    <xf numFmtId="0" fontId="0" fillId="4" borderId="17" xfId="0" applyFill="1" applyBorder="1"/>
    <xf numFmtId="0" fontId="0" fillId="4" borderId="19" xfId="0" applyFill="1" applyBorder="1"/>
    <xf numFmtId="0" fontId="4" fillId="4" borderId="0" xfId="0" applyFont="1" applyFill="1" applyAlignment="1">
      <alignment wrapText="1"/>
    </xf>
    <xf numFmtId="0" fontId="0" fillId="4" borderId="10" xfId="0" applyFill="1" applyBorder="1"/>
    <xf numFmtId="0" fontId="0" fillId="4" borderId="16" xfId="0" applyFill="1" applyBorder="1"/>
    <xf numFmtId="0" fontId="0" fillId="4" borderId="11" xfId="0" applyFill="1" applyBorder="1"/>
    <xf numFmtId="0" fontId="10" fillId="4" borderId="0" xfId="0" applyFont="1" applyFill="1" applyAlignment="1">
      <alignment horizontal="left"/>
    </xf>
    <xf numFmtId="0" fontId="0" fillId="4" borderId="0" xfId="0" applyFill="1" applyAlignment="1"/>
    <xf numFmtId="0" fontId="11" fillId="4" borderId="0" xfId="0" applyFont="1" applyFill="1"/>
    <xf numFmtId="0" fontId="10" fillId="4" borderId="0" xfId="0" applyFont="1" applyFill="1"/>
    <xf numFmtId="43" fontId="4" fillId="7" borderId="0" xfId="1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right" vertical="center"/>
    </xf>
    <xf numFmtId="0" fontId="4" fillId="5" borderId="0" xfId="0" applyFont="1" applyFill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7" fillId="4" borderId="0" xfId="0" applyFont="1" applyFill="1" applyAlignment="1">
      <alignment horizontal="left"/>
    </xf>
    <xf numFmtId="0" fontId="12" fillId="4" borderId="0" xfId="0" applyFont="1" applyFill="1"/>
    <xf numFmtId="9" fontId="10" fillId="4" borderId="0" xfId="6" applyFont="1" applyFill="1"/>
    <xf numFmtId="166" fontId="0" fillId="4" borderId="0" xfId="0" applyNumberFormat="1" applyFill="1"/>
    <xf numFmtId="0" fontId="5" fillId="4" borderId="0" xfId="0" applyFont="1" applyFill="1"/>
    <xf numFmtId="0" fontId="0" fillId="4" borderId="0" xfId="0" applyFont="1" applyFill="1"/>
    <xf numFmtId="0" fontId="0" fillId="8" borderId="0" xfId="0" applyFill="1"/>
    <xf numFmtId="0" fontId="0" fillId="4" borderId="0" xfId="0" applyFont="1" applyFill="1" applyAlignment="1">
      <alignment horizontal="center"/>
    </xf>
    <xf numFmtId="0" fontId="0" fillId="3" borderId="5" xfId="0" quotePrefix="1" applyFill="1" applyBorder="1"/>
    <xf numFmtId="165" fontId="0" fillId="4" borderId="0" xfId="0" applyNumberFormat="1" applyFill="1"/>
    <xf numFmtId="0" fontId="0" fillId="4" borderId="0" xfId="0" quotePrefix="1" applyFill="1"/>
    <xf numFmtId="165" fontId="4" fillId="7" borderId="5" xfId="0" applyNumberFormat="1" applyFont="1" applyFill="1" applyBorder="1" applyAlignment="1">
      <alignment horizontal="center" vertical="center"/>
    </xf>
    <xf numFmtId="43" fontId="4" fillId="7" borderId="5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7" borderId="20" xfId="0" applyFill="1" applyBorder="1" applyAlignment="1"/>
    <xf numFmtId="0" fontId="0" fillId="7" borderId="21" xfId="0" applyFill="1" applyBorder="1" applyAlignment="1"/>
    <xf numFmtId="165" fontId="2" fillId="0" borderId="0" xfId="1" applyNumberFormat="1" applyFont="1" applyBorder="1"/>
    <xf numFmtId="165" fontId="2" fillId="0" borderId="19" xfId="1" applyNumberFormat="1" applyFont="1" applyBorder="1"/>
    <xf numFmtId="165" fontId="2" fillId="0" borderId="16" xfId="1" applyNumberFormat="1" applyFont="1" applyBorder="1"/>
    <xf numFmtId="165" fontId="2" fillId="0" borderId="11" xfId="1" applyNumberFormat="1" applyFont="1" applyBorder="1"/>
    <xf numFmtId="165" fontId="2" fillId="10" borderId="6" xfId="1" applyNumberFormat="1" applyFont="1" applyFill="1" applyBorder="1"/>
    <xf numFmtId="165" fontId="2" fillId="10" borderId="14" xfId="1" applyNumberFormat="1" applyFont="1" applyFill="1" applyBorder="1"/>
    <xf numFmtId="165" fontId="2" fillId="10" borderId="7" xfId="1" applyNumberFormat="1" applyFont="1" applyFill="1" applyBorder="1"/>
    <xf numFmtId="165" fontId="2" fillId="10" borderId="17" xfId="1" applyNumberFormat="1" applyFont="1" applyFill="1" applyBorder="1"/>
    <xf numFmtId="165" fontId="2" fillId="10" borderId="0" xfId="1" applyNumberFormat="1" applyFont="1" applyFill="1" applyBorder="1"/>
    <xf numFmtId="165" fontId="2" fillId="10" borderId="19" xfId="1" applyNumberFormat="1" applyFont="1" applyFill="1" applyBorder="1"/>
    <xf numFmtId="165" fontId="2" fillId="10" borderId="17" xfId="1" applyNumberFormat="1" applyFont="1" applyFill="1" applyBorder="1" applyAlignment="1">
      <alignment textRotation="45"/>
    </xf>
    <xf numFmtId="165" fontId="2" fillId="10" borderId="0" xfId="1" applyNumberFormat="1" applyFont="1" applyFill="1" applyBorder="1" applyAlignment="1">
      <alignment textRotation="45"/>
    </xf>
    <xf numFmtId="165" fontId="2" fillId="10" borderId="19" xfId="1" applyNumberFormat="1" applyFont="1" applyFill="1" applyBorder="1" applyAlignment="1">
      <alignment textRotation="45"/>
    </xf>
    <xf numFmtId="165" fontId="2" fillId="10" borderId="8" xfId="1" applyNumberFormat="1" applyFont="1" applyFill="1" applyBorder="1"/>
    <xf numFmtId="165" fontId="2" fillId="10" borderId="13" xfId="1" applyNumberFormat="1" applyFont="1" applyFill="1" applyBorder="1"/>
    <xf numFmtId="165" fontId="2" fillId="10" borderId="9" xfId="1" applyNumberFormat="1" applyFont="1" applyFill="1" applyBorder="1"/>
    <xf numFmtId="165" fontId="2" fillId="10" borderId="22" xfId="1" applyNumberFormat="1" applyFont="1" applyFill="1" applyBorder="1"/>
    <xf numFmtId="165" fontId="2" fillId="10" borderId="23" xfId="1" applyNumberFormat="1" applyFont="1" applyFill="1" applyBorder="1"/>
    <xf numFmtId="165" fontId="2" fillId="10" borderId="24" xfId="1" applyNumberFormat="1" applyFont="1" applyFill="1" applyBorder="1"/>
    <xf numFmtId="165" fontId="2" fillId="10" borderId="25" xfId="1" applyNumberFormat="1" applyFont="1" applyFill="1" applyBorder="1"/>
    <xf numFmtId="165" fontId="2" fillId="10" borderId="26" xfId="1" applyNumberFormat="1" applyFont="1" applyFill="1" applyBorder="1"/>
    <xf numFmtId="165" fontId="2" fillId="10" borderId="27" xfId="1" applyNumberFormat="1" applyFont="1" applyFill="1" applyBorder="1"/>
    <xf numFmtId="165" fontId="2" fillId="10" borderId="28" xfId="1" applyNumberFormat="1" applyFont="1" applyFill="1" applyBorder="1"/>
    <xf numFmtId="165" fontId="2" fillId="10" borderId="3" xfId="1" applyNumberFormat="1" applyFont="1" applyFill="1" applyBorder="1"/>
    <xf numFmtId="165" fontId="2" fillId="10" borderId="4" xfId="1" applyNumberFormat="1" applyFont="1" applyFill="1" applyBorder="1"/>
    <xf numFmtId="0" fontId="0" fillId="0" borderId="5" xfId="0" applyBorder="1"/>
    <xf numFmtId="0" fontId="0" fillId="0" borderId="12" xfId="0" applyBorder="1"/>
    <xf numFmtId="0" fontId="0" fillId="0" borderId="18" xfId="0" applyBorder="1"/>
    <xf numFmtId="0" fontId="0" fillId="0" borderId="15" xfId="0" applyBorder="1"/>
    <xf numFmtId="0" fontId="0" fillId="0" borderId="17" xfId="0" applyBorder="1" applyAlignment="1">
      <alignment wrapText="1"/>
    </xf>
    <xf numFmtId="165" fontId="2" fillId="11" borderId="0" xfId="1" applyNumberFormat="1" applyFont="1" applyFill="1" applyBorder="1"/>
    <xf numFmtId="165" fontId="2" fillId="11" borderId="19" xfId="1" applyNumberFormat="1" applyFont="1" applyFill="1" applyBorder="1"/>
    <xf numFmtId="0" fontId="4" fillId="4" borderId="0" xfId="0" applyFont="1" applyFill="1" applyBorder="1" applyAlignment="1">
      <alignment horizontal="center"/>
    </xf>
    <xf numFmtId="0" fontId="4" fillId="4" borderId="29" xfId="0" applyFont="1" applyFill="1" applyBorder="1" applyAlignment="1"/>
    <xf numFmtId="0" fontId="4" fillId="4" borderId="30" xfId="0" applyFont="1" applyFill="1" applyBorder="1" applyAlignment="1"/>
    <xf numFmtId="0" fontId="4" fillId="4" borderId="22" xfId="0" applyFont="1" applyFill="1" applyBorder="1" applyAlignment="1">
      <alignment horizontal="center"/>
    </xf>
    <xf numFmtId="9" fontId="4" fillId="4" borderId="22" xfId="0" applyNumberFormat="1" applyFont="1" applyFill="1" applyBorder="1" applyAlignment="1">
      <alignment horizontal="center"/>
    </xf>
    <xf numFmtId="0" fontId="4" fillId="4" borderId="31" xfId="0" applyFont="1" applyFill="1" applyBorder="1" applyAlignment="1"/>
    <xf numFmtId="0" fontId="4" fillId="8" borderId="0" xfId="0" applyFont="1" applyFill="1"/>
    <xf numFmtId="0" fontId="4" fillId="4" borderId="0" xfId="0" applyFont="1" applyFill="1" applyAlignment="1"/>
    <xf numFmtId="164" fontId="11" fillId="4" borderId="22" xfId="0" applyNumberFormat="1" applyFont="1" applyFill="1" applyBorder="1" applyAlignment="1">
      <alignment horizontal="center"/>
    </xf>
    <xf numFmtId="0" fontId="13" fillId="4" borderId="0" xfId="0" applyFont="1" applyFill="1"/>
    <xf numFmtId="2" fontId="11" fillId="4" borderId="22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/>
    <xf numFmtId="0" fontId="4" fillId="12" borderId="22" xfId="0" applyFont="1" applyFill="1" applyBorder="1" applyAlignment="1" applyProtection="1">
      <alignment horizontal="left"/>
      <protection locked="0"/>
    </xf>
    <xf numFmtId="0" fontId="0" fillId="2" borderId="5" xfId="0" applyFill="1" applyBorder="1" applyProtection="1">
      <protection locked="0"/>
    </xf>
    <xf numFmtId="0" fontId="12" fillId="4" borderId="0" xfId="0" applyFont="1" applyFill="1" applyBorder="1" applyAlignment="1">
      <alignment horizontal="right"/>
    </xf>
    <xf numFmtId="0" fontId="12" fillId="4" borderId="0" xfId="0" applyFont="1" applyFill="1" applyBorder="1"/>
    <xf numFmtId="0" fontId="0" fillId="7" borderId="5" xfId="0" applyFill="1" applyBorder="1"/>
    <xf numFmtId="0" fontId="14" fillId="4" borderId="0" xfId="0" applyFont="1" applyFill="1" applyAlignment="1">
      <alignment horizontal="right" vertical="center"/>
    </xf>
    <xf numFmtId="2" fontId="14" fillId="4" borderId="0" xfId="0" applyNumberFormat="1" applyFont="1" applyFill="1" applyAlignment="1">
      <alignment horizontal="right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3" fillId="4" borderId="0" xfId="3" applyFill="1" applyAlignment="1">
      <alignment horizontal="left"/>
    </xf>
    <xf numFmtId="43" fontId="2" fillId="5" borderId="10" xfId="1" applyFont="1" applyFill="1" applyBorder="1" applyAlignment="1">
      <alignment horizontal="center"/>
    </xf>
    <xf numFmtId="43" fontId="2" fillId="5" borderId="16" xfId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5" fontId="2" fillId="5" borderId="8" xfId="1" applyNumberFormat="1" applyFont="1" applyFill="1" applyBorder="1" applyAlignment="1">
      <alignment horizontal="center"/>
    </xf>
    <xf numFmtId="165" fontId="2" fillId="5" borderId="13" xfId="1" applyNumberFormat="1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5" fontId="2" fillId="5" borderId="6" xfId="1" applyNumberFormat="1" applyFont="1" applyFill="1" applyBorder="1" applyAlignment="1">
      <alignment horizontal="center"/>
    </xf>
    <xf numFmtId="165" fontId="2" fillId="5" borderId="14" xfId="1" applyNumberFormat="1" applyFont="1" applyFill="1" applyBorder="1" applyAlignment="1">
      <alignment horizontal="center"/>
    </xf>
    <xf numFmtId="0" fontId="15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2" fillId="8" borderId="0" xfId="0" applyFont="1" applyFill="1" applyAlignment="1">
      <alignment horizont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  <protection locked="0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right" vertical="center"/>
    </xf>
    <xf numFmtId="0" fontId="4" fillId="7" borderId="14" xfId="0" applyFont="1" applyFill="1" applyBorder="1" applyAlignment="1">
      <alignment horizontal="right" vertical="center"/>
    </xf>
    <xf numFmtId="0" fontId="4" fillId="7" borderId="7" xfId="0" applyFont="1" applyFill="1" applyBorder="1" applyAlignment="1">
      <alignment horizontal="righ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6" fontId="0" fillId="7" borderId="36" xfId="0" applyNumberFormat="1" applyFill="1" applyBorder="1" applyAlignment="1">
      <alignment horizontal="center"/>
    </xf>
    <xf numFmtId="166" fontId="0" fillId="7" borderId="21" xfId="0" applyNumberForma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166" fontId="0" fillId="7" borderId="38" xfId="0" applyNumberFormat="1" applyFill="1" applyBorder="1" applyAlignment="1">
      <alignment horizontal="center"/>
    </xf>
    <xf numFmtId="166" fontId="0" fillId="7" borderId="2" xfId="0" applyNumberFormat="1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164" fontId="0" fillId="7" borderId="7" xfId="0" applyNumberFormat="1" applyFill="1" applyBorder="1" applyAlignment="1">
      <alignment horizontal="center"/>
    </xf>
    <xf numFmtId="1" fontId="0" fillId="7" borderId="6" xfId="0" applyNumberFormat="1" applyFill="1" applyBorder="1" applyAlignment="1">
      <alignment horizontal="center"/>
    </xf>
    <xf numFmtId="1" fontId="0" fillId="7" borderId="7" xfId="0" applyNumberFormat="1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167" fontId="0" fillId="7" borderId="6" xfId="0" applyNumberFormat="1" applyFill="1" applyBorder="1" applyAlignment="1">
      <alignment horizontal="center"/>
    </xf>
    <xf numFmtId="167" fontId="0" fillId="7" borderId="7" xfId="0" applyNumberFormat="1" applyFill="1" applyBorder="1" applyAlignment="1">
      <alignment horizontal="center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4" fillId="13" borderId="35" xfId="0" applyFont="1" applyFill="1" applyBorder="1" applyAlignment="1">
      <alignment horizontal="center"/>
    </xf>
    <xf numFmtId="0" fontId="4" fillId="13" borderId="37" xfId="0" applyFont="1" applyFill="1" applyBorder="1" applyAlignment="1">
      <alignment horizontal="center"/>
    </xf>
    <xf numFmtId="0" fontId="0" fillId="14" borderId="36" xfId="0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13" borderId="33" xfId="0" applyFont="1" applyFill="1" applyBorder="1" applyAlignment="1">
      <alignment horizontal="center"/>
    </xf>
    <xf numFmtId="0" fontId="4" fillId="13" borderId="34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1" fillId="4" borderId="46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12" borderId="44" xfId="0" applyFont="1" applyFill="1" applyBorder="1" applyAlignment="1" applyProtection="1">
      <alignment horizontal="center"/>
      <protection locked="0"/>
    </xf>
    <xf numFmtId="0" fontId="4" fillId="12" borderId="30" xfId="0" applyFont="1" applyFill="1" applyBorder="1" applyAlignment="1" applyProtection="1">
      <alignment horizontal="center"/>
      <protection locked="0"/>
    </xf>
    <xf numFmtId="0" fontId="4" fillId="12" borderId="43" xfId="0" applyFont="1" applyFill="1" applyBorder="1" applyAlignment="1" applyProtection="1">
      <alignment horizontal="center"/>
      <protection locked="0"/>
    </xf>
    <xf numFmtId="0" fontId="4" fillId="12" borderId="29" xfId="0" applyFont="1" applyFill="1" applyBorder="1" applyAlignment="1" applyProtection="1">
      <alignment horizontal="center"/>
      <protection locked="0"/>
    </xf>
    <xf numFmtId="0" fontId="4" fillId="12" borderId="0" xfId="0" applyFont="1" applyFill="1" applyBorder="1" applyAlignment="1" applyProtection="1">
      <alignment horizontal="center"/>
      <protection locked="0"/>
    </xf>
    <xf numFmtId="0" fontId="4" fillId="12" borderId="45" xfId="0" applyFont="1" applyFill="1" applyBorder="1" applyAlignment="1" applyProtection="1">
      <alignment horizontal="center"/>
      <protection locked="0"/>
    </xf>
    <xf numFmtId="0" fontId="4" fillId="12" borderId="41" xfId="0" applyFont="1" applyFill="1" applyBorder="1" applyAlignment="1" applyProtection="1">
      <alignment horizontal="center"/>
      <protection locked="0"/>
    </xf>
    <xf numFmtId="0" fontId="4" fillId="12" borderId="31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>
      <alignment horizontal="center" wrapText="1"/>
    </xf>
    <xf numFmtId="0" fontId="4" fillId="12" borderId="22" xfId="0" applyFont="1" applyFill="1" applyBorder="1" applyAlignment="1">
      <alignment horizontal="center"/>
    </xf>
    <xf numFmtId="0" fontId="4" fillId="12" borderId="47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9" fontId="0" fillId="5" borderId="1" xfId="6" applyNumberFormat="1" applyFont="1" applyFill="1" applyBorder="1" applyAlignment="1">
      <alignment horizontal="center"/>
    </xf>
    <xf numFmtId="169" fontId="0" fillId="5" borderId="12" xfId="6" applyNumberFormat="1" applyFont="1" applyFill="1" applyBorder="1" applyAlignment="1">
      <alignment horizontal="center"/>
    </xf>
  </cellXfs>
  <cellStyles count="7">
    <cellStyle name="Comma" xfId="1" builtinId="3"/>
    <cellStyle name="Comma 2" xfId="2"/>
    <cellStyle name="Hyperlink" xfId="3" builtinId="8"/>
    <cellStyle name="Normal" xfId="0" builtinId="0"/>
    <cellStyle name="Normal 2" xfId="4"/>
    <cellStyle name="Normal 3" xfId="5"/>
    <cellStyle name="Percent" xfId="6" builtinId="5"/>
  </cellStyles>
  <dxfs count="3">
    <dxf>
      <fill>
        <patternFill>
          <bgColor theme="9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120</xdr:row>
      <xdr:rowOff>647700</xdr:rowOff>
    </xdr:from>
    <xdr:to>
      <xdr:col>18</xdr:col>
      <xdr:colOff>666750</xdr:colOff>
      <xdr:row>129</xdr:row>
      <xdr:rowOff>942975</xdr:rowOff>
    </xdr:to>
    <xdr:pic>
      <xdr:nvPicPr>
        <xdr:cNvPr id="11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6165175"/>
          <a:ext cx="5238750" cy="533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533400</xdr:colOff>
      <xdr:row>85</xdr:row>
      <xdr:rowOff>57150</xdr:rowOff>
    </xdr:from>
    <xdr:to>
      <xdr:col>16</xdr:col>
      <xdr:colOff>390525</xdr:colOff>
      <xdr:row>104</xdr:row>
      <xdr:rowOff>161925</xdr:rowOff>
    </xdr:to>
    <xdr:pic>
      <xdr:nvPicPr>
        <xdr:cNvPr id="1141" name="Picture 5" descr="tiled field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8345150"/>
          <a:ext cx="2647950" cy="371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36</xdr:row>
      <xdr:rowOff>161925</xdr:rowOff>
    </xdr:from>
    <xdr:to>
      <xdr:col>9</xdr:col>
      <xdr:colOff>504825</xdr:colOff>
      <xdr:row>47</xdr:row>
      <xdr:rowOff>171450</xdr:rowOff>
    </xdr:to>
    <xdr:pic>
      <xdr:nvPicPr>
        <xdr:cNvPr id="7224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7115175"/>
          <a:ext cx="40005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24</xdr:row>
      <xdr:rowOff>180975</xdr:rowOff>
    </xdr:from>
    <xdr:to>
      <xdr:col>9</xdr:col>
      <xdr:colOff>552450</xdr:colOff>
      <xdr:row>36</xdr:row>
      <xdr:rowOff>0</xdr:rowOff>
    </xdr:to>
    <xdr:pic>
      <xdr:nvPicPr>
        <xdr:cNvPr id="7225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848225"/>
          <a:ext cx="40100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dsc.nws.noaa.gov/hdsc/pfds/pfds_map_cont.html?bkmrk=m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ca.state.mn.us/index.php/water/water-types-and-programs/minnesotas-impaired-waters-and-tmdls/tmdl-projects/special-projects/sediment-reduction-strategy-for-the-minnesota-river-basin-and-south-metro-mississippi-river.html" TargetMode="External"/><Relationship Id="rId1" Type="http://schemas.openxmlformats.org/officeDocument/2006/relationships/hyperlink" Target="http://www.dot.state.mn.us/bridge/hydraulics/drainagemanual.html" TargetMode="External"/><Relationship Id="rId6" Type="http://schemas.openxmlformats.org/officeDocument/2006/relationships/hyperlink" Target="http://pubs.usgs.gov/sir/2009/5250/pdf/sir2009-5250.pdf" TargetMode="External"/><Relationship Id="rId5" Type="http://schemas.openxmlformats.org/officeDocument/2006/relationships/hyperlink" Target="http://directives.sc.egov.usda.gov/OpenNonWebContent.aspx?content=17757.wba" TargetMode="External"/><Relationship Id="rId4" Type="http://schemas.openxmlformats.org/officeDocument/2006/relationships/hyperlink" Target="http://www.nrcs.usda.gov/Internet/FSE_DOCUMENTS/stelprdb104417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ubs.usgs.gov/sir/2009/5250/pdf/sir2009-525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hdsc.nws.noaa.gov/hdsc/pfds/pfds_map_cont.html?bkmrk=m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rcs.usda.gov/Internet/FSE_DOCUMENTS/stelprdb1044171.pdf" TargetMode="External"/><Relationship Id="rId2" Type="http://schemas.openxmlformats.org/officeDocument/2006/relationships/hyperlink" Target="http://www.nrcs.usda.gov/Internet/FSE_DOCUMENTS/stelprdb1044171.pdf" TargetMode="External"/><Relationship Id="rId1" Type="http://schemas.openxmlformats.org/officeDocument/2006/relationships/hyperlink" Target="http://websoilsurvey.sc.egov.usda.gov/App/HomePage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B71"/>
  <sheetViews>
    <sheetView showRowColHeaders="0" workbookViewId="0"/>
  </sheetViews>
  <sheetFormatPr defaultColWidth="8.85546875" defaultRowHeight="15" x14ac:dyDescent="0.25"/>
  <cols>
    <col min="1" max="1" width="2.7109375" style="21" customWidth="1"/>
    <col min="2" max="2" width="2.85546875" style="21" customWidth="1"/>
    <col min="3" max="10" width="8.85546875" style="21"/>
    <col min="11" max="11" width="10.85546875" style="21" customWidth="1"/>
    <col min="12" max="16384" width="8.85546875" style="21"/>
  </cols>
  <sheetData>
    <row r="3" spans="3:3" x14ac:dyDescent="0.25">
      <c r="C3" s="22" t="s">
        <v>70</v>
      </c>
    </row>
    <row r="4" spans="3:3" x14ac:dyDescent="0.25">
      <c r="C4" s="21" t="s">
        <v>71</v>
      </c>
    </row>
    <row r="5" spans="3:3" x14ac:dyDescent="0.25">
      <c r="C5" s="21" t="s">
        <v>170</v>
      </c>
    </row>
    <row r="6" spans="3:3" x14ac:dyDescent="0.25">
      <c r="C6" s="21" t="s">
        <v>171</v>
      </c>
    </row>
    <row r="7" spans="3:3" x14ac:dyDescent="0.25">
      <c r="C7" s="21" t="s">
        <v>261</v>
      </c>
    </row>
    <row r="8" spans="3:3" x14ac:dyDescent="0.25">
      <c r="C8" s="21" t="s">
        <v>262</v>
      </c>
    </row>
    <row r="9" spans="3:3" x14ac:dyDescent="0.25">
      <c r="C9" s="21" t="s">
        <v>263</v>
      </c>
    </row>
    <row r="10" spans="3:3" x14ac:dyDescent="0.25">
      <c r="C10" s="21" t="s">
        <v>264</v>
      </c>
    </row>
    <row r="12" spans="3:3" x14ac:dyDescent="0.25">
      <c r="C12" s="22" t="s">
        <v>72</v>
      </c>
    </row>
    <row r="13" spans="3:3" x14ac:dyDescent="0.25">
      <c r="C13" s="21" t="s">
        <v>73</v>
      </c>
    </row>
    <row r="14" spans="3:3" x14ac:dyDescent="0.25">
      <c r="C14" s="21" t="s">
        <v>74</v>
      </c>
    </row>
    <row r="15" spans="3:3" x14ac:dyDescent="0.25">
      <c r="C15" s="21" t="s">
        <v>75</v>
      </c>
    </row>
    <row r="16" spans="3:3" x14ac:dyDescent="0.25">
      <c r="C16" s="21" t="s">
        <v>76</v>
      </c>
    </row>
    <row r="17" spans="3:4" x14ac:dyDescent="0.25">
      <c r="D17" s="21" t="s">
        <v>77</v>
      </c>
    </row>
    <row r="18" spans="3:4" x14ac:dyDescent="0.25">
      <c r="D18" s="21" t="s">
        <v>78</v>
      </c>
    </row>
    <row r="19" spans="3:4" x14ac:dyDescent="0.25">
      <c r="D19" s="21" t="s">
        <v>79</v>
      </c>
    </row>
    <row r="21" spans="3:4" x14ac:dyDescent="0.25">
      <c r="C21" s="21" t="s">
        <v>80</v>
      </c>
    </row>
    <row r="22" spans="3:4" x14ac:dyDescent="0.25">
      <c r="C22" s="21" t="s">
        <v>81</v>
      </c>
    </row>
    <row r="23" spans="3:4" x14ac:dyDescent="0.25">
      <c r="C23" s="21" t="s">
        <v>82</v>
      </c>
    </row>
    <row r="24" spans="3:4" x14ac:dyDescent="0.25">
      <c r="C24" s="21" t="s">
        <v>83</v>
      </c>
    </row>
    <row r="25" spans="3:4" x14ac:dyDescent="0.25">
      <c r="C25" s="21" t="s">
        <v>84</v>
      </c>
    </row>
    <row r="27" spans="3:4" x14ac:dyDescent="0.25">
      <c r="C27" s="22" t="s">
        <v>85</v>
      </c>
    </row>
    <row r="28" spans="3:4" x14ac:dyDescent="0.25">
      <c r="C28" s="21" t="s">
        <v>86</v>
      </c>
    </row>
    <row r="29" spans="3:4" x14ac:dyDescent="0.25">
      <c r="D29" s="21" t="s">
        <v>87</v>
      </c>
    </row>
    <row r="30" spans="3:4" x14ac:dyDescent="0.25">
      <c r="D30" s="21" t="s">
        <v>88</v>
      </c>
    </row>
    <row r="31" spans="3:4" x14ac:dyDescent="0.25">
      <c r="D31" s="21" t="s">
        <v>89</v>
      </c>
    </row>
    <row r="32" spans="3:4" x14ac:dyDescent="0.25">
      <c r="D32" s="21" t="s">
        <v>90</v>
      </c>
    </row>
    <row r="34" spans="3:4" x14ac:dyDescent="0.25">
      <c r="C34" s="21" t="s">
        <v>91</v>
      </c>
    </row>
    <row r="35" spans="3:4" x14ac:dyDescent="0.25">
      <c r="D35" s="21" t="s">
        <v>92</v>
      </c>
    </row>
    <row r="36" spans="3:4" x14ac:dyDescent="0.25">
      <c r="D36" s="21" t="s">
        <v>93</v>
      </c>
    </row>
    <row r="37" spans="3:4" x14ac:dyDescent="0.25">
      <c r="D37" s="21" t="s">
        <v>94</v>
      </c>
    </row>
    <row r="38" spans="3:4" x14ac:dyDescent="0.25">
      <c r="D38" s="21" t="s">
        <v>95</v>
      </c>
    </row>
    <row r="40" spans="3:4" x14ac:dyDescent="0.25">
      <c r="C40" s="21" t="s">
        <v>172</v>
      </c>
    </row>
    <row r="41" spans="3:4" x14ac:dyDescent="0.25">
      <c r="D41" s="21" t="s">
        <v>173</v>
      </c>
    </row>
    <row r="42" spans="3:4" ht="14.45" customHeight="1" x14ac:dyDescent="0.25">
      <c r="D42" s="21" t="s">
        <v>278</v>
      </c>
    </row>
    <row r="43" spans="3:4" x14ac:dyDescent="0.25">
      <c r="D43" s="21" t="s">
        <v>279</v>
      </c>
    </row>
    <row r="46" spans="3:4" x14ac:dyDescent="0.25">
      <c r="C46" s="21" t="s">
        <v>96</v>
      </c>
    </row>
    <row r="47" spans="3:4" x14ac:dyDescent="0.25">
      <c r="D47" s="21" t="s">
        <v>280</v>
      </c>
    </row>
    <row r="48" spans="3:4" x14ac:dyDescent="0.25">
      <c r="D48" s="21" t="s">
        <v>97</v>
      </c>
    </row>
    <row r="49" spans="3:28" x14ac:dyDescent="0.25">
      <c r="D49" s="21" t="s">
        <v>281</v>
      </c>
    </row>
    <row r="52" spans="3:28" ht="14.45" customHeight="1" x14ac:dyDescent="0.25">
      <c r="C52" s="22" t="s">
        <v>282</v>
      </c>
    </row>
    <row r="55" spans="3:28" x14ac:dyDescent="0.25">
      <c r="C55" s="21" t="s">
        <v>283</v>
      </c>
    </row>
    <row r="56" spans="3:28" x14ac:dyDescent="0.25">
      <c r="D56" s="21" t="s">
        <v>286</v>
      </c>
      <c r="F56" s="156" t="s">
        <v>61</v>
      </c>
      <c r="G56" s="156"/>
      <c r="H56" s="156"/>
      <c r="I56" s="156"/>
      <c r="J56" s="156"/>
      <c r="K56" s="156"/>
      <c r="L56" s="156"/>
    </row>
    <row r="58" spans="3:28" x14ac:dyDescent="0.25">
      <c r="C58" s="21" t="s">
        <v>98</v>
      </c>
    </row>
    <row r="59" spans="3:28" x14ac:dyDescent="0.25">
      <c r="D59" s="21" t="s">
        <v>287</v>
      </c>
      <c r="F59" s="156" t="s">
        <v>288</v>
      </c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1" spans="3:28" x14ac:dyDescent="0.25">
      <c r="C61" s="21" t="s">
        <v>99</v>
      </c>
    </row>
    <row r="62" spans="3:28" x14ac:dyDescent="0.25">
      <c r="D62" s="21" t="s">
        <v>287</v>
      </c>
      <c r="F62" s="156" t="s">
        <v>289</v>
      </c>
      <c r="G62" s="156"/>
      <c r="H62" s="156"/>
      <c r="I62" s="156"/>
      <c r="J62" s="156"/>
      <c r="K62" s="156"/>
      <c r="L62" s="156"/>
    </row>
    <row r="64" spans="3:28" x14ac:dyDescent="0.25">
      <c r="C64" s="21" t="s">
        <v>100</v>
      </c>
    </row>
    <row r="65" spans="3:13" x14ac:dyDescent="0.25">
      <c r="D65" s="21" t="s">
        <v>287</v>
      </c>
      <c r="F65" s="156" t="s">
        <v>290</v>
      </c>
      <c r="G65" s="156"/>
      <c r="H65" s="156"/>
      <c r="I65" s="156"/>
      <c r="J65" s="156"/>
      <c r="K65" s="156"/>
      <c r="L65" s="156"/>
      <c r="M65" s="156"/>
    </row>
    <row r="67" spans="3:13" x14ac:dyDescent="0.25">
      <c r="C67" s="21" t="s">
        <v>284</v>
      </c>
    </row>
    <row r="68" spans="3:13" x14ac:dyDescent="0.25">
      <c r="D68" s="21" t="s">
        <v>287</v>
      </c>
      <c r="F68" s="156" t="s">
        <v>285</v>
      </c>
      <c r="G68" s="156"/>
      <c r="H68" s="156"/>
      <c r="I68" s="156"/>
      <c r="J68" s="156"/>
      <c r="K68" s="156"/>
      <c r="L68" s="156"/>
      <c r="M68" s="156"/>
    </row>
    <row r="70" spans="3:13" x14ac:dyDescent="0.25">
      <c r="C70" s="21" t="s">
        <v>101</v>
      </c>
    </row>
    <row r="71" spans="3:13" x14ac:dyDescent="0.25">
      <c r="D71" s="21" t="s">
        <v>287</v>
      </c>
      <c r="F71" s="156" t="s">
        <v>16</v>
      </c>
      <c r="G71" s="156"/>
      <c r="H71" s="156"/>
      <c r="I71" s="156"/>
      <c r="J71" s="156"/>
      <c r="K71" s="156"/>
    </row>
  </sheetData>
  <sheetProtection password="C120" sheet="1" selectLockedCells="1"/>
  <mergeCells count="6">
    <mergeCell ref="F68:M68"/>
    <mergeCell ref="F71:K71"/>
    <mergeCell ref="F56:L56"/>
    <mergeCell ref="F59:AB59"/>
    <mergeCell ref="F62:L62"/>
    <mergeCell ref="F65:M65"/>
  </mergeCells>
  <hyperlinks>
    <hyperlink ref="F56" r:id="rId1"/>
    <hyperlink ref="F59" r:id="rId2"/>
    <hyperlink ref="F62" r:id="rId3"/>
    <hyperlink ref="F65" r:id="rId4"/>
    <hyperlink ref="F68" r:id="rId5"/>
    <hyperlink ref="F71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3"/>
  <sheetViews>
    <sheetView workbookViewId="0">
      <selection activeCell="O14" sqref="O14"/>
    </sheetView>
  </sheetViews>
  <sheetFormatPr defaultRowHeight="15" x14ac:dyDescent="0.25"/>
  <cols>
    <col min="22" max="64" width="8.85546875" style="21" customWidth="1"/>
  </cols>
  <sheetData>
    <row r="1" spans="1:6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64" ht="15.75" x14ac:dyDescent="0.25">
      <c r="A2" s="9"/>
      <c r="B2" s="10" t="s">
        <v>10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64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64" x14ac:dyDescent="0.25">
      <c r="A4" s="9"/>
      <c r="B4" s="9"/>
      <c r="C4" s="9" t="s">
        <v>69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64" x14ac:dyDescent="0.25">
      <c r="A5" s="9"/>
      <c r="B5" s="9"/>
      <c r="C5" s="9" t="s">
        <v>11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6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64" x14ac:dyDescent="0.25">
      <c r="A7" s="9"/>
      <c r="B7" s="9"/>
      <c r="C7" s="9"/>
      <c r="D7" s="9" t="s">
        <v>12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64" x14ac:dyDescent="0.25">
      <c r="A8" s="9"/>
      <c r="B8" s="9"/>
      <c r="C8" s="9"/>
      <c r="D8" s="9" t="s">
        <v>13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64" x14ac:dyDescent="0.25">
      <c r="A9" s="9"/>
      <c r="B9" s="9"/>
      <c r="C9" s="9"/>
      <c r="D9" s="9" t="s">
        <v>14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21"/>
      <c r="U9" s="21"/>
      <c r="BK9"/>
      <c r="BL9"/>
    </row>
    <row r="10" spans="1:64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21"/>
      <c r="U10" s="21"/>
      <c r="BK10"/>
      <c r="BL10"/>
    </row>
    <row r="11" spans="1:64" x14ac:dyDescent="0.25">
      <c r="A11" s="9"/>
      <c r="B11" s="9"/>
      <c r="C11" s="9"/>
      <c r="D11" s="9" t="s">
        <v>15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21"/>
      <c r="U11" s="21"/>
      <c r="BK11"/>
      <c r="BL11"/>
    </row>
    <row r="12" spans="1:64" x14ac:dyDescent="0.25">
      <c r="A12" s="9"/>
      <c r="B12" s="9"/>
      <c r="C12" s="9"/>
      <c r="D12" s="156" t="s">
        <v>16</v>
      </c>
      <c r="E12" s="170"/>
      <c r="F12" s="170"/>
      <c r="G12" s="170"/>
      <c r="H12" s="170"/>
      <c r="I12" s="170"/>
      <c r="J12" s="9"/>
      <c r="K12" s="9"/>
      <c r="L12" s="9"/>
      <c r="M12" s="9"/>
      <c r="N12" s="9"/>
      <c r="O12" s="9"/>
      <c r="P12" s="9"/>
      <c r="Q12" s="9"/>
      <c r="R12" s="9"/>
      <c r="S12" s="9"/>
      <c r="T12" s="21"/>
      <c r="U12" s="21"/>
      <c r="BK12"/>
      <c r="BL12"/>
    </row>
    <row r="13" spans="1:64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21"/>
      <c r="U13" s="21"/>
      <c r="BK13"/>
      <c r="BL13"/>
    </row>
    <row r="14" spans="1:64" x14ac:dyDescent="0.25">
      <c r="A14" s="9"/>
      <c r="B14" s="9"/>
      <c r="C14" s="9" t="s">
        <v>17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21"/>
      <c r="U14" s="21"/>
      <c r="BK14"/>
      <c r="BL14"/>
    </row>
    <row r="15" spans="1:64" x14ac:dyDescent="0.25">
      <c r="A15" s="9"/>
      <c r="B15" s="9"/>
      <c r="C15" s="9" t="s">
        <v>18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21"/>
      <c r="U15" s="21"/>
      <c r="BK15"/>
      <c r="BL15"/>
    </row>
    <row r="16" spans="1:64" x14ac:dyDescent="0.25">
      <c r="A16" s="9"/>
      <c r="B16" s="9"/>
      <c r="C16" s="9" t="s">
        <v>291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21"/>
      <c r="U16" s="21"/>
      <c r="BK16"/>
      <c r="BL16"/>
    </row>
    <row r="17" spans="1:64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21"/>
      <c r="U17" s="21"/>
      <c r="BK17"/>
      <c r="BL17"/>
    </row>
    <row r="18" spans="1:64" x14ac:dyDescent="0.25">
      <c r="A18" s="9"/>
      <c r="B18" s="9"/>
      <c r="C18" s="9" t="s">
        <v>19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64" x14ac:dyDescent="0.25">
      <c r="A19" s="9"/>
      <c r="B19" s="9"/>
      <c r="C19" s="9" t="s">
        <v>20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64" x14ac:dyDescent="0.25">
      <c r="A20" s="9"/>
      <c r="B20" s="9"/>
      <c r="C20" s="9" t="s">
        <v>21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64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64" x14ac:dyDescent="0.25">
      <c r="A22" s="9"/>
      <c r="B22" s="9"/>
      <c r="C22" s="9" t="s">
        <v>22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64" x14ac:dyDescent="0.25">
      <c r="A23" s="9"/>
      <c r="B23" s="9"/>
      <c r="C23" s="9" t="s">
        <v>23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64" x14ac:dyDescent="0.25">
      <c r="A24" s="9"/>
      <c r="B24" s="9"/>
      <c r="C24" s="9" t="s">
        <v>24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64" x14ac:dyDescent="0.25">
      <c r="A25" s="9"/>
      <c r="B25" s="9"/>
      <c r="C25" s="9" t="s">
        <v>269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6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64" x14ac:dyDescent="0.25">
      <c r="A27" s="9"/>
      <c r="B27" s="9"/>
      <c r="C27" s="11" t="s">
        <v>25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64" ht="15.75" thickBo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64" ht="15.75" thickBot="1" x14ac:dyDescent="0.3">
      <c r="A29" s="9"/>
      <c r="B29" s="9"/>
      <c r="C29" s="9" t="s">
        <v>26</v>
      </c>
      <c r="D29" s="9"/>
      <c r="E29" s="9"/>
      <c r="F29" s="12" t="s">
        <v>27</v>
      </c>
      <c r="G29" s="159" t="s">
        <v>28</v>
      </c>
      <c r="H29" s="160"/>
      <c r="I29" s="160"/>
      <c r="J29" s="160"/>
      <c r="K29" s="161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64" ht="15.75" thickBot="1" x14ac:dyDescent="0.3">
      <c r="A30" s="9"/>
      <c r="B30" s="9"/>
      <c r="C30" s="9"/>
      <c r="D30" s="9"/>
      <c r="E30" s="9"/>
      <c r="F30" s="12" t="s">
        <v>29</v>
      </c>
      <c r="G30" s="159">
        <v>5319500</v>
      </c>
      <c r="H30" s="160"/>
      <c r="I30" s="160"/>
      <c r="J30" s="160"/>
      <c r="K30" s="161"/>
      <c r="L30" s="9"/>
      <c r="M30" s="9"/>
      <c r="N30" s="9"/>
      <c r="O30" s="9"/>
      <c r="P30" s="9"/>
      <c r="Q30" s="9"/>
      <c r="R30" s="9"/>
      <c r="S30" s="9"/>
      <c r="T30" s="90">
        <v>1.5</v>
      </c>
      <c r="U30" s="91">
        <f>D35</f>
        <v>2040</v>
      </c>
    </row>
    <row r="31" spans="1:64" ht="15.75" thickBot="1" x14ac:dyDescent="0.3">
      <c r="A31" s="9"/>
      <c r="B31" s="9"/>
      <c r="C31" s="9" t="s">
        <v>30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0">
        <v>2</v>
      </c>
      <c r="U31" s="91">
        <f>E35</f>
        <v>2800</v>
      </c>
    </row>
    <row r="32" spans="1:64" ht="15.75" thickBot="1" x14ac:dyDescent="0.3">
      <c r="A32" s="9"/>
      <c r="B32" s="9"/>
      <c r="C32" s="9"/>
      <c r="D32" s="6">
        <v>0.25</v>
      </c>
      <c r="E32" s="9" t="s">
        <v>31</v>
      </c>
      <c r="F32" s="9"/>
      <c r="G32" s="5">
        <v>2</v>
      </c>
      <c r="H32" s="92" t="s">
        <v>272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0">
        <v>5</v>
      </c>
      <c r="U32" s="91">
        <f>F35</f>
        <v>5230</v>
      </c>
    </row>
    <row r="33" spans="1:21" ht="15.75" thickBo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0">
        <v>10</v>
      </c>
      <c r="U33" s="91">
        <f>G35</f>
        <v>7290</v>
      </c>
    </row>
    <row r="34" spans="1:21" ht="15.75" thickBot="1" x14ac:dyDescent="0.3">
      <c r="A34" s="9"/>
      <c r="B34" s="9"/>
      <c r="C34" s="7" t="s">
        <v>33</v>
      </c>
      <c r="D34" s="7" t="s">
        <v>34</v>
      </c>
      <c r="E34" s="7" t="s">
        <v>32</v>
      </c>
      <c r="F34" s="7" t="s">
        <v>35</v>
      </c>
      <c r="G34" s="7" t="s">
        <v>36</v>
      </c>
      <c r="H34" s="7" t="s">
        <v>37</v>
      </c>
      <c r="I34" s="7" t="s">
        <v>38</v>
      </c>
      <c r="J34" s="7" t="s">
        <v>39</v>
      </c>
      <c r="K34" s="7" t="s">
        <v>40</v>
      </c>
      <c r="L34" s="9"/>
      <c r="M34" s="9"/>
      <c r="N34" s="9"/>
      <c r="O34" s="9"/>
      <c r="P34" s="9"/>
      <c r="Q34" s="9"/>
      <c r="R34" s="9"/>
      <c r="S34" s="9"/>
      <c r="T34" s="90">
        <v>25</v>
      </c>
      <c r="U34" s="91">
        <f>H35</f>
        <v>10400</v>
      </c>
    </row>
    <row r="35" spans="1:21" ht="15.75" thickBot="1" x14ac:dyDescent="0.3">
      <c r="A35" s="9"/>
      <c r="B35" s="9"/>
      <c r="C35" s="1">
        <v>211</v>
      </c>
      <c r="D35" s="2">
        <v>2040</v>
      </c>
      <c r="E35" s="3">
        <v>2800</v>
      </c>
      <c r="F35" s="3">
        <v>5230</v>
      </c>
      <c r="G35" s="3">
        <v>7290</v>
      </c>
      <c r="H35" s="3">
        <v>10400</v>
      </c>
      <c r="I35" s="3">
        <v>13100</v>
      </c>
      <c r="J35" s="3">
        <v>16200</v>
      </c>
      <c r="K35" s="4">
        <v>24800</v>
      </c>
      <c r="L35" s="9"/>
      <c r="M35" s="9"/>
      <c r="N35" s="9"/>
      <c r="O35" s="9"/>
      <c r="P35" s="9"/>
      <c r="Q35" s="9"/>
      <c r="R35" s="9"/>
      <c r="S35" s="9"/>
      <c r="T35" s="90">
        <v>50</v>
      </c>
      <c r="U35" s="91">
        <f>I35</f>
        <v>13100</v>
      </c>
    </row>
    <row r="36" spans="1:21" ht="15.75" thickBot="1" x14ac:dyDescent="0.3">
      <c r="A36" s="9"/>
      <c r="B36" s="9"/>
      <c r="C36" s="9"/>
      <c r="D36" s="9" t="s">
        <v>41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0">
        <v>100</v>
      </c>
      <c r="U36" s="91">
        <f>J35</f>
        <v>16200</v>
      </c>
    </row>
    <row r="37" spans="1:21" ht="15.75" thickBo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0">
        <v>500</v>
      </c>
      <c r="U37" s="91">
        <f>K35</f>
        <v>24800</v>
      </c>
    </row>
    <row r="38" spans="1:21" ht="15.75" thickBot="1" x14ac:dyDescent="0.3">
      <c r="A38" s="9"/>
      <c r="B38" s="9"/>
      <c r="C38" s="11" t="s">
        <v>42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5.75" thickBot="1" x14ac:dyDescent="0.3">
      <c r="A39" s="9"/>
      <c r="B39" s="9"/>
      <c r="C39" s="7"/>
      <c r="D39" s="8"/>
      <c r="E39" s="162" t="s">
        <v>43</v>
      </c>
      <c r="F39" s="162"/>
      <c r="G39" s="163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5.75" thickBot="1" x14ac:dyDescent="0.3">
      <c r="A40" s="9"/>
      <c r="B40" s="9"/>
      <c r="C40" s="166" t="s">
        <v>44</v>
      </c>
      <c r="D40" s="167"/>
      <c r="E40" s="168">
        <f>D32*VLOOKUP(G32,T30:U37,2)</f>
        <v>700</v>
      </c>
      <c r="F40" s="169"/>
      <c r="G40" s="13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25">
      <c r="A41" s="9"/>
      <c r="B41" s="9"/>
      <c r="C41" s="14" t="s">
        <v>45</v>
      </c>
      <c r="D41" s="15" t="s">
        <v>46</v>
      </c>
      <c r="E41" s="164">
        <f>E40*24*60*60</f>
        <v>60480000</v>
      </c>
      <c r="F41" s="165"/>
      <c r="G41" s="16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5.75" thickBot="1" x14ac:dyDescent="0.3">
      <c r="A42" s="9"/>
      <c r="B42" s="9"/>
      <c r="C42" s="17" t="s">
        <v>45</v>
      </c>
      <c r="D42" s="18" t="s">
        <v>47</v>
      </c>
      <c r="E42" s="157">
        <f>E41/43560</f>
        <v>1388.4297520661157</v>
      </c>
      <c r="F42" s="158"/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25">
      <c r="A47" s="9"/>
      <c r="B47" s="9"/>
      <c r="C47" s="11" t="s">
        <v>48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5.75" thickBo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5.75" thickBot="1" x14ac:dyDescent="0.3">
      <c r="A49" s="9"/>
      <c r="B49" s="9"/>
      <c r="C49" s="9" t="s">
        <v>26</v>
      </c>
      <c r="D49" s="9"/>
      <c r="E49" s="9"/>
      <c r="F49" s="12" t="s">
        <v>27</v>
      </c>
      <c r="G49" s="159" t="s">
        <v>28</v>
      </c>
      <c r="H49" s="160"/>
      <c r="I49" s="160"/>
      <c r="J49" s="160"/>
      <c r="K49" s="161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5.75" thickBot="1" x14ac:dyDescent="0.3">
      <c r="A50" s="9"/>
      <c r="B50" s="9"/>
      <c r="C50" s="9"/>
      <c r="D50" s="9"/>
      <c r="E50" s="9"/>
      <c r="F50" s="12" t="s">
        <v>29</v>
      </c>
      <c r="G50" s="159">
        <v>5319500</v>
      </c>
      <c r="H50" s="160"/>
      <c r="I50" s="160"/>
      <c r="J50" s="160"/>
      <c r="K50" s="161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5.75" thickBot="1" x14ac:dyDescent="0.3">
      <c r="A51" s="9"/>
      <c r="B51" s="9"/>
      <c r="C51" s="9" t="s">
        <v>30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5.75" thickBot="1" x14ac:dyDescent="0.3">
      <c r="A52" s="9"/>
      <c r="B52" s="9"/>
      <c r="C52" s="9"/>
      <c r="D52" s="6">
        <v>0.25</v>
      </c>
      <c r="E52" s="9" t="s">
        <v>31</v>
      </c>
      <c r="F52" s="9"/>
      <c r="G52" s="5" t="s">
        <v>32</v>
      </c>
      <c r="H52" s="9" t="s">
        <v>270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5.75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5.75" thickBot="1" x14ac:dyDescent="0.3">
      <c r="A54" s="9"/>
      <c r="B54" s="9"/>
      <c r="C54" s="7" t="s">
        <v>33</v>
      </c>
      <c r="D54" s="7" t="s">
        <v>34</v>
      </c>
      <c r="E54" s="7" t="s">
        <v>32</v>
      </c>
      <c r="F54" s="7" t="s">
        <v>35</v>
      </c>
      <c r="G54" s="7" t="s">
        <v>36</v>
      </c>
      <c r="H54" s="7" t="s">
        <v>37</v>
      </c>
      <c r="I54" s="7" t="s">
        <v>38</v>
      </c>
      <c r="J54" s="7" t="s">
        <v>39</v>
      </c>
      <c r="K54" s="7" t="s">
        <v>40</v>
      </c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5.75" thickBot="1" x14ac:dyDescent="0.3">
      <c r="A55" s="9"/>
      <c r="B55" s="9"/>
      <c r="C55" s="1">
        <v>211</v>
      </c>
      <c r="D55" s="2">
        <v>2040</v>
      </c>
      <c r="E55" s="3">
        <v>2800</v>
      </c>
      <c r="F55" s="3">
        <v>5230</v>
      </c>
      <c r="G55" s="3">
        <v>7290</v>
      </c>
      <c r="H55" s="3">
        <v>10400</v>
      </c>
      <c r="I55" s="3">
        <v>13100</v>
      </c>
      <c r="J55" s="3">
        <v>16200</v>
      </c>
      <c r="K55" s="4">
        <v>24800</v>
      </c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25">
      <c r="A56" s="9"/>
      <c r="B56" s="9"/>
      <c r="C56" s="9"/>
      <c r="D56" s="9" t="s">
        <v>41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5.75" thickBot="1" x14ac:dyDescent="0.3">
      <c r="A58" s="9"/>
      <c r="B58" s="9"/>
      <c r="C58" s="11" t="s">
        <v>42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t="15.75" thickBot="1" x14ac:dyDescent="0.3">
      <c r="A59" s="9"/>
      <c r="B59" s="9"/>
      <c r="C59" s="7"/>
      <c r="D59" s="8"/>
      <c r="E59" s="162" t="s">
        <v>43</v>
      </c>
      <c r="F59" s="162"/>
      <c r="G59" s="163"/>
      <c r="H59" s="9"/>
      <c r="I59" s="9"/>
      <c r="J59" s="9"/>
      <c r="K59" s="9"/>
      <c r="L59" s="9"/>
      <c r="M59" s="9"/>
      <c r="N59" s="9"/>
      <c r="O59" s="95" t="s">
        <v>303</v>
      </c>
      <c r="P59" s="9"/>
      <c r="Q59" s="9"/>
      <c r="R59" s="9"/>
      <c r="S59" s="9"/>
      <c r="T59" s="9"/>
      <c r="U59" s="9"/>
    </row>
    <row r="60" spans="1:21" ht="15.75" thickBot="1" x14ac:dyDescent="0.3">
      <c r="A60" s="9"/>
      <c r="B60" s="9"/>
      <c r="C60" s="166" t="s">
        <v>44</v>
      </c>
      <c r="D60" s="167"/>
      <c r="E60" s="168">
        <v>700</v>
      </c>
      <c r="F60" s="169"/>
      <c r="G60" s="13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5">
      <c r="A61" s="9"/>
      <c r="B61" s="9"/>
      <c r="C61" s="14" t="s">
        <v>45</v>
      </c>
      <c r="D61" s="15" t="s">
        <v>46</v>
      </c>
      <c r="E61" s="164">
        <v>60480000</v>
      </c>
      <c r="F61" s="165"/>
      <c r="G61" s="16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15.75" thickBot="1" x14ac:dyDescent="0.3">
      <c r="A62" s="9"/>
      <c r="B62" s="9"/>
      <c r="C62" s="17" t="s">
        <v>45</v>
      </c>
      <c r="D62" s="18" t="s">
        <v>47</v>
      </c>
      <c r="E62" s="157">
        <v>1388.4297520661157</v>
      </c>
      <c r="F62" s="158"/>
      <c r="G62" s="1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</sheetData>
  <mergeCells count="15">
    <mergeCell ref="C60:D60"/>
    <mergeCell ref="E60:F60"/>
    <mergeCell ref="C40:D40"/>
    <mergeCell ref="E41:F41"/>
    <mergeCell ref="E40:F40"/>
    <mergeCell ref="D12:I12"/>
    <mergeCell ref="G29:K29"/>
    <mergeCell ref="G30:K30"/>
    <mergeCell ref="E39:G39"/>
    <mergeCell ref="E62:F62"/>
    <mergeCell ref="E42:F42"/>
    <mergeCell ref="G50:K50"/>
    <mergeCell ref="E59:G59"/>
    <mergeCell ref="G49:K49"/>
    <mergeCell ref="E61:F61"/>
  </mergeCells>
  <dataValidations count="1">
    <dataValidation type="list" allowBlank="1" showInputMessage="1" showErrorMessage="1" sqref="G32">
      <formula1>$T$30:$T$37</formula1>
    </dataValidation>
  </dataValidations>
  <hyperlinks>
    <hyperlink ref="D1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04"/>
  <sheetViews>
    <sheetView showRowColHeaders="0" workbookViewId="0">
      <selection activeCell="D20" sqref="D20"/>
    </sheetView>
  </sheetViews>
  <sheetFormatPr defaultColWidth="8.85546875" defaultRowHeight="15" x14ac:dyDescent="0.25"/>
  <cols>
    <col min="1" max="1" width="3.28515625" style="20" customWidth="1"/>
    <col min="2" max="2" width="3.7109375" style="20" customWidth="1"/>
    <col min="3" max="4" width="8.85546875" style="20"/>
    <col min="5" max="5" width="11" style="20" customWidth="1"/>
    <col min="6" max="6" width="3.85546875" style="20" customWidth="1"/>
    <col min="7" max="25" width="8.85546875" style="20"/>
    <col min="26" max="75" width="8.85546875" style="21"/>
    <col min="76" max="16384" width="8.85546875" style="20"/>
  </cols>
  <sheetData>
    <row r="1" spans="1:75" ht="18.75" x14ac:dyDescent="0.3">
      <c r="A1" s="21"/>
      <c r="B1" s="21"/>
      <c r="C1" s="23" t="s">
        <v>102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</row>
    <row r="2" spans="1:7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</row>
    <row r="3" spans="1:75" x14ac:dyDescent="0.25">
      <c r="A3" s="21"/>
      <c r="B3" s="21"/>
      <c r="C3" s="21" t="s">
        <v>103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</row>
    <row r="4" spans="1:75" x14ac:dyDescent="0.25">
      <c r="A4" s="21"/>
      <c r="B4" s="21"/>
      <c r="C4" s="21" t="s">
        <v>271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</row>
    <row r="5" spans="1:75" x14ac:dyDescent="0.25">
      <c r="A5" s="21"/>
      <c r="B5" s="21"/>
      <c r="C5" s="21" t="s">
        <v>104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</row>
    <row r="6" spans="1:75" x14ac:dyDescent="0.25">
      <c r="A6" s="21"/>
      <c r="B6" s="21"/>
      <c r="C6" s="21" t="s">
        <v>105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5" x14ac:dyDescent="0.25">
      <c r="A8" s="21"/>
      <c r="B8" s="21"/>
      <c r="C8" s="21" t="s">
        <v>106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</row>
    <row r="9" spans="1:75" x14ac:dyDescent="0.25">
      <c r="A9" s="21"/>
      <c r="B9" s="21"/>
      <c r="C9" s="21"/>
      <c r="D9" s="21" t="s">
        <v>49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</row>
    <row r="10" spans="1:75" x14ac:dyDescent="0.25">
      <c r="A10" s="21"/>
      <c r="B10" s="21"/>
      <c r="C10" s="21" t="s">
        <v>107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</row>
    <row r="11" spans="1:75" x14ac:dyDescent="0.25">
      <c r="A11" s="21"/>
      <c r="B11" s="21"/>
      <c r="C11" s="21"/>
      <c r="D11" s="21" t="s">
        <v>108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</row>
    <row r="12" spans="1:75" x14ac:dyDescent="0.25">
      <c r="A12" s="21"/>
      <c r="B12" s="21"/>
      <c r="C12" s="21" t="s">
        <v>109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</row>
    <row r="13" spans="1:75" x14ac:dyDescent="0.25">
      <c r="A13" s="21"/>
      <c r="B13" s="21"/>
      <c r="C13" s="21"/>
      <c r="D13" s="21" t="s">
        <v>110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</row>
    <row r="14" spans="1:75" ht="15.75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</row>
    <row r="15" spans="1:75" ht="15.75" thickBot="1" x14ac:dyDescent="0.3">
      <c r="A15" s="21"/>
      <c r="B15" s="21"/>
      <c r="C15" s="21" t="s">
        <v>111</v>
      </c>
      <c r="D15" s="21"/>
      <c r="E15" s="21"/>
      <c r="F15" s="21"/>
      <c r="G15" s="52">
        <f>'Watershed Storage Goal'!G32</f>
        <v>2</v>
      </c>
      <c r="H15" s="92" t="s">
        <v>273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</row>
    <row r="16" spans="1:75" x14ac:dyDescent="0.25">
      <c r="A16" s="21"/>
      <c r="B16" s="21"/>
      <c r="C16" s="21"/>
      <c r="D16" s="21" t="s">
        <v>112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</row>
    <row r="17" spans="1:25" s="20" customForma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s="20" customFormat="1" x14ac:dyDescent="0.25">
      <c r="A18" s="21"/>
      <c r="B18" s="21"/>
      <c r="C18" s="21" t="s">
        <v>113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s="20" customFormat="1" ht="15.75" thickBot="1" x14ac:dyDescent="0.3">
      <c r="A19" s="21"/>
      <c r="B19" s="21"/>
      <c r="C19" s="21"/>
      <c r="D19" s="21" t="s">
        <v>114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s="20" customFormat="1" ht="15.75" thickBot="1" x14ac:dyDescent="0.3">
      <c r="A20" s="21"/>
      <c r="B20" s="21"/>
      <c r="C20" s="21"/>
      <c r="D20" s="155">
        <v>2.92</v>
      </c>
      <c r="E20" s="21" t="s">
        <v>265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s="20" customForma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s="20" customFormat="1" x14ac:dyDescent="0.25">
      <c r="A22" s="53"/>
      <c r="B22" s="53"/>
      <c r="C22" s="53"/>
      <c r="D22" s="54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s="20" customForma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s="20" customFormat="1" ht="18.75" x14ac:dyDescent="0.3">
      <c r="A24" s="53"/>
      <c r="B24" s="53"/>
      <c r="C24" s="53"/>
      <c r="D24" s="55"/>
      <c r="E24" s="53"/>
      <c r="F24" s="54"/>
      <c r="G24" s="54"/>
      <c r="H24" s="56"/>
      <c r="I24" s="56"/>
      <c r="J24" s="53"/>
      <c r="K24" s="53"/>
      <c r="L24" s="53"/>
      <c r="M24" s="53"/>
      <c r="N24" s="53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s="20" customForma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20" customFormat="1" x14ac:dyDescent="0.25">
      <c r="A26" s="53"/>
      <c r="B26" s="53"/>
      <c r="C26" s="53"/>
      <c r="D26" s="171"/>
      <c r="E26" s="171"/>
      <c r="F26" s="171"/>
      <c r="G26" s="57"/>
      <c r="H26" s="171"/>
      <c r="I26" s="171"/>
      <c r="J26" s="53"/>
      <c r="K26" s="53"/>
      <c r="L26" s="53"/>
      <c r="M26" s="53"/>
      <c r="N26" s="53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s="20" customFormat="1" x14ac:dyDescent="0.25">
      <c r="A27" s="53"/>
      <c r="B27" s="53"/>
      <c r="C27" s="53"/>
      <c r="D27" s="172"/>
      <c r="E27" s="172"/>
      <c r="F27" s="172"/>
      <c r="G27" s="58"/>
      <c r="H27" s="173"/>
      <c r="I27" s="173"/>
      <c r="J27" s="53"/>
      <c r="K27" s="53"/>
      <c r="L27" s="53"/>
      <c r="M27" s="53"/>
      <c r="N27" s="53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s="20" customFormat="1" x14ac:dyDescent="0.25">
      <c r="A28" s="53"/>
      <c r="B28" s="53"/>
      <c r="C28" s="53"/>
      <c r="D28" s="53"/>
      <c r="E28" s="53"/>
      <c r="F28" s="56"/>
      <c r="G28" s="59"/>
      <c r="H28" s="173"/>
      <c r="I28" s="173"/>
      <c r="J28" s="53"/>
      <c r="K28" s="53"/>
      <c r="L28" s="53"/>
      <c r="M28" s="53"/>
      <c r="N28" s="53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s="20" customFormat="1" x14ac:dyDescent="0.25">
      <c r="A29" s="53"/>
      <c r="B29" s="53"/>
      <c r="C29" s="53"/>
      <c r="D29" s="53"/>
      <c r="E29" s="53"/>
      <c r="F29" s="60"/>
      <c r="G29" s="61"/>
      <c r="H29" s="171"/>
      <c r="I29" s="171"/>
      <c r="J29" s="53"/>
      <c r="K29" s="53"/>
      <c r="L29" s="53"/>
      <c r="M29" s="53"/>
      <c r="N29" s="53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s="20" customFormat="1" x14ac:dyDescent="0.25">
      <c r="A30" s="53"/>
      <c r="B30" s="53"/>
      <c r="C30" s="53"/>
      <c r="D30" s="53"/>
      <c r="E30" s="53"/>
      <c r="F30" s="60"/>
      <c r="G30" s="59"/>
      <c r="H30" s="171"/>
      <c r="I30" s="171"/>
      <c r="J30" s="53"/>
      <c r="K30" s="53"/>
      <c r="L30" s="53"/>
      <c r="M30" s="53"/>
      <c r="N30" s="53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s="20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s="20" customFormat="1" ht="18.75" x14ac:dyDescent="0.3">
      <c r="A32" s="53"/>
      <c r="B32" s="53"/>
      <c r="C32" s="53"/>
      <c r="D32" s="55"/>
      <c r="E32" s="53"/>
      <c r="F32" s="54"/>
      <c r="G32" s="54"/>
      <c r="H32" s="56"/>
      <c r="I32" s="56"/>
      <c r="J32" s="53"/>
      <c r="K32" s="53"/>
      <c r="L32" s="53"/>
      <c r="M32" s="53"/>
      <c r="N32" s="53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s="20" customForma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s="20" customFormat="1" x14ac:dyDescent="0.25">
      <c r="A34" s="53"/>
      <c r="B34" s="53"/>
      <c r="C34" s="53"/>
      <c r="D34" s="57"/>
      <c r="E34" s="57"/>
      <c r="F34" s="57"/>
      <c r="G34" s="57"/>
      <c r="H34" s="57"/>
      <c r="I34" s="57"/>
      <c r="J34" s="53"/>
      <c r="K34" s="53"/>
      <c r="L34" s="53"/>
      <c r="M34" s="53"/>
      <c r="N34" s="53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s="20" customFormat="1" x14ac:dyDescent="0.25">
      <c r="A35" s="53"/>
      <c r="B35" s="53"/>
      <c r="C35" s="53"/>
      <c r="D35" s="172"/>
      <c r="E35" s="172"/>
      <c r="F35" s="172"/>
      <c r="G35" s="58"/>
      <c r="H35" s="62"/>
      <c r="I35" s="62"/>
      <c r="J35" s="53"/>
      <c r="K35" s="53"/>
      <c r="L35" s="53"/>
      <c r="M35" s="53"/>
      <c r="N35" s="53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s="20" customFormat="1" x14ac:dyDescent="0.25">
      <c r="A36" s="53"/>
      <c r="B36" s="53"/>
      <c r="C36" s="53"/>
      <c r="D36" s="53"/>
      <c r="E36" s="53"/>
      <c r="F36" s="60"/>
      <c r="G36" s="59"/>
      <c r="H36" s="173"/>
      <c r="I36" s="173"/>
      <c r="J36" s="53"/>
      <c r="K36" s="53"/>
      <c r="L36" s="53"/>
      <c r="M36" s="53"/>
      <c r="N36" s="53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s="20" customFormat="1" x14ac:dyDescent="0.25">
      <c r="A37" s="53"/>
      <c r="B37" s="53"/>
      <c r="C37" s="53"/>
      <c r="D37" s="53"/>
      <c r="E37" s="53"/>
      <c r="F37" s="60"/>
      <c r="G37" s="61"/>
      <c r="H37" s="173"/>
      <c r="I37" s="173"/>
      <c r="J37" s="53"/>
      <c r="K37" s="53"/>
      <c r="L37" s="53"/>
      <c r="M37" s="53"/>
      <c r="N37" s="53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s="20" customFormat="1" x14ac:dyDescent="0.25">
      <c r="A38" s="53"/>
      <c r="B38" s="53"/>
      <c r="C38" s="53"/>
      <c r="D38" s="53"/>
      <c r="E38" s="53"/>
      <c r="F38" s="60"/>
      <c r="G38" s="59"/>
      <c r="H38" s="173"/>
      <c r="I38" s="173"/>
      <c r="J38" s="53"/>
      <c r="K38" s="53"/>
      <c r="L38" s="53"/>
      <c r="M38" s="53"/>
      <c r="N38" s="53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s="20" customFormat="1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s="20" customFormat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s="20" customFormat="1" ht="18.75" x14ac:dyDescent="0.3">
      <c r="A41" s="53"/>
      <c r="B41" s="53"/>
      <c r="C41" s="53"/>
      <c r="D41" s="55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s="20" customFormat="1" x14ac:dyDescent="0.25">
      <c r="A42" s="53"/>
      <c r="B42" s="53"/>
      <c r="C42" s="53"/>
      <c r="D42" s="63"/>
      <c r="E42" s="63"/>
      <c r="F42" s="63"/>
      <c r="G42" s="63"/>
      <c r="H42" s="63"/>
      <c r="I42" s="63"/>
      <c r="J42" s="63"/>
      <c r="K42" s="53"/>
      <c r="L42" s="53"/>
      <c r="M42" s="53"/>
      <c r="N42" s="53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s="20" customFormat="1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s="20" customFormat="1" ht="18.75" x14ac:dyDescent="0.3">
      <c r="A44" s="53"/>
      <c r="B44" s="53"/>
      <c r="C44" s="53"/>
      <c r="D44" s="55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s="20" customFormat="1" x14ac:dyDescent="0.25">
      <c r="A45" s="53"/>
      <c r="B45" s="53"/>
      <c r="C45" s="53"/>
      <c r="D45" s="171"/>
      <c r="E45" s="171"/>
      <c r="F45" s="171"/>
      <c r="G45" s="57"/>
      <c r="H45" s="171"/>
      <c r="I45" s="171"/>
      <c r="J45" s="53"/>
      <c r="K45" s="53"/>
      <c r="L45" s="53"/>
      <c r="M45" s="53"/>
      <c r="N45" s="53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s="20" customFormat="1" x14ac:dyDescent="0.25">
      <c r="A46" s="53"/>
      <c r="B46" s="53"/>
      <c r="C46" s="53"/>
      <c r="D46" s="53"/>
      <c r="E46" s="53"/>
      <c r="F46" s="60"/>
      <c r="G46" s="59"/>
      <c r="H46" s="171"/>
      <c r="I46" s="171"/>
      <c r="J46" s="53"/>
      <c r="K46" s="53"/>
      <c r="L46" s="53"/>
      <c r="M46" s="53"/>
      <c r="N46" s="53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s="20" customFormat="1" x14ac:dyDescent="0.25">
      <c r="A47" s="53"/>
      <c r="B47" s="53"/>
      <c r="C47" s="53"/>
      <c r="D47" s="53"/>
      <c r="E47" s="53"/>
      <c r="F47" s="60"/>
      <c r="G47" s="61"/>
      <c r="H47" s="171"/>
      <c r="I47" s="171"/>
      <c r="J47" s="53"/>
      <c r="K47" s="53"/>
      <c r="L47" s="53"/>
      <c r="M47" s="53"/>
      <c r="N47" s="53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s="20" customFormat="1" x14ac:dyDescent="0.25">
      <c r="A48" s="53"/>
      <c r="B48" s="53"/>
      <c r="C48" s="53"/>
      <c r="D48" s="53"/>
      <c r="E48" s="53"/>
      <c r="F48" s="60"/>
      <c r="G48" s="59"/>
      <c r="H48" s="171"/>
      <c r="I48" s="171"/>
      <c r="J48" s="53"/>
      <c r="K48" s="53"/>
      <c r="L48" s="53"/>
      <c r="M48" s="53"/>
      <c r="N48" s="53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s="20" customFormat="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s="20" customForma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s="20" customFormat="1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s="20" customFormat="1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s="20" customFormat="1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s="20" customForma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20" customForma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s="20" customForma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s="20" customForma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s="20" customForma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s="20" customForma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s="20" customForma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s="20" customForma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s="20" customForma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s="20" customForma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s="20" customForma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s="20" customForma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s="20" customForma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s="20" customForma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s="20" customForma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s="20" customForma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s="20" customForma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s="20" customForma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s="20" customForma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s="20" customForma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s="20" customForma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s="20" customForma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s="20" customForma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s="20" customForma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s="20" customForma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s="20" customForma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s="20" customForma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s="20" customForma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s="20" customForma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s="20" customForma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s="20" customForma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s="20" customForma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s="20" customForma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s="20" customForma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s="20" customForma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s="20" customForma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s="20" customForma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s="20" customForma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s="20" customForma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s="20" customForma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s="20" customForma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s="20" customForma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s="20" customForma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s="20" customForma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s="20" customForma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s="20" customForma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s="20" customForma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s="20" customForma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s="20" customForma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s="20" customForma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s="20" customForma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s="20" customForma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s="20" customForma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s="20" customForma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s="20" customForma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s="20" customForma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s="20" customForma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s="20" customForma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s="20" customForma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20" customForma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s="20" customForma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s="20" customForma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s="20" customForma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s="20" customForma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s="20" customForma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s="20" customForma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s="20" customForma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s="20" customForma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s="20" customForma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s="20" customForma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s="20" customForma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s="20" customForma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s="20" customForma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s="20" customForma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s="20" customForma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s="20" customForma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s="20" customForma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s="20" customForma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s="21" customFormat="1" x14ac:dyDescent="0.25"/>
    <row r="133" spans="1:25" s="21" customFormat="1" x14ac:dyDescent="0.25"/>
    <row r="134" spans="1:25" s="21" customFormat="1" x14ac:dyDescent="0.25"/>
    <row r="135" spans="1:25" s="21" customFormat="1" x14ac:dyDescent="0.25"/>
    <row r="136" spans="1:25" s="21" customFormat="1" x14ac:dyDescent="0.25"/>
    <row r="137" spans="1:25" s="21" customFormat="1" x14ac:dyDescent="0.25"/>
    <row r="138" spans="1:25" s="21" customFormat="1" x14ac:dyDescent="0.25"/>
    <row r="139" spans="1:25" s="21" customFormat="1" x14ac:dyDescent="0.25"/>
    <row r="140" spans="1:25" s="21" customFormat="1" x14ac:dyDescent="0.25"/>
    <row r="141" spans="1:25" s="21" customFormat="1" x14ac:dyDescent="0.25"/>
    <row r="142" spans="1:25" s="21" customFormat="1" x14ac:dyDescent="0.25"/>
    <row r="143" spans="1:25" s="21" customFormat="1" x14ac:dyDescent="0.25"/>
    <row r="144" spans="1:25" s="21" customFormat="1" x14ac:dyDescent="0.25"/>
    <row r="145" s="21" customFormat="1" x14ac:dyDescent="0.25"/>
    <row r="146" s="21" customFormat="1" x14ac:dyDescent="0.25"/>
    <row r="147" s="21" customFormat="1" x14ac:dyDescent="0.25"/>
    <row r="148" s="21" customFormat="1" x14ac:dyDescent="0.25"/>
    <row r="149" s="21" customFormat="1" x14ac:dyDescent="0.25"/>
    <row r="150" s="21" customFormat="1" x14ac:dyDescent="0.25"/>
    <row r="151" s="21" customFormat="1" x14ac:dyDescent="0.25"/>
    <row r="152" s="21" customFormat="1" x14ac:dyDescent="0.25"/>
    <row r="153" s="21" customFormat="1" x14ac:dyDescent="0.25"/>
    <row r="154" s="21" customFormat="1" x14ac:dyDescent="0.25"/>
    <row r="155" s="21" customFormat="1" x14ac:dyDescent="0.25"/>
    <row r="156" s="21" customFormat="1" x14ac:dyDescent="0.25"/>
    <row r="157" s="21" customFormat="1" x14ac:dyDescent="0.25"/>
    <row r="158" s="21" customFormat="1" x14ac:dyDescent="0.25"/>
    <row r="159" s="21" customFormat="1" x14ac:dyDescent="0.25"/>
    <row r="160" s="21" customFormat="1" x14ac:dyDescent="0.25"/>
    <row r="161" s="21" customFormat="1" x14ac:dyDescent="0.25"/>
    <row r="162" s="21" customFormat="1" x14ac:dyDescent="0.25"/>
    <row r="163" s="21" customFormat="1" x14ac:dyDescent="0.25"/>
    <row r="164" s="21" customFormat="1" x14ac:dyDescent="0.25"/>
    <row r="165" s="21" customFormat="1" x14ac:dyDescent="0.25"/>
    <row r="166" s="21" customFormat="1" x14ac:dyDescent="0.25"/>
    <row r="167" s="21" customFormat="1" x14ac:dyDescent="0.25"/>
    <row r="168" s="21" customFormat="1" x14ac:dyDescent="0.25"/>
    <row r="169" s="21" customFormat="1" x14ac:dyDescent="0.25"/>
    <row r="170" s="21" customFormat="1" x14ac:dyDescent="0.25"/>
    <row r="171" s="21" customFormat="1" x14ac:dyDescent="0.25"/>
    <row r="172" s="21" customFormat="1" x14ac:dyDescent="0.25"/>
    <row r="173" s="21" customFormat="1" x14ac:dyDescent="0.25"/>
    <row r="174" s="21" customFormat="1" x14ac:dyDescent="0.25"/>
    <row r="175" s="21" customFormat="1" x14ac:dyDescent="0.25"/>
    <row r="176" s="21" customFormat="1" x14ac:dyDescent="0.25"/>
    <row r="177" s="21" customFormat="1" x14ac:dyDescent="0.25"/>
    <row r="178" s="21" customFormat="1" x14ac:dyDescent="0.25"/>
    <row r="179" s="21" customFormat="1" x14ac:dyDescent="0.25"/>
    <row r="180" s="21" customFormat="1" x14ac:dyDescent="0.25"/>
    <row r="181" s="21" customFormat="1" x14ac:dyDescent="0.25"/>
    <row r="182" s="21" customFormat="1" x14ac:dyDescent="0.25"/>
    <row r="183" s="21" customFormat="1" x14ac:dyDescent="0.25"/>
    <row r="184" s="21" customFormat="1" x14ac:dyDescent="0.25"/>
    <row r="185" s="21" customFormat="1" x14ac:dyDescent="0.25"/>
    <row r="186" s="21" customFormat="1" x14ac:dyDescent="0.25"/>
    <row r="187" s="21" customFormat="1" x14ac:dyDescent="0.25"/>
    <row r="188" s="21" customFormat="1" x14ac:dyDescent="0.25"/>
    <row r="189" s="21" customFormat="1" x14ac:dyDescent="0.25"/>
    <row r="190" s="21" customFormat="1" x14ac:dyDescent="0.25"/>
    <row r="191" s="21" customFormat="1" x14ac:dyDescent="0.25"/>
    <row r="192" s="21" customFormat="1" x14ac:dyDescent="0.25"/>
    <row r="193" s="21" customFormat="1" x14ac:dyDescent="0.25"/>
    <row r="194" s="21" customFormat="1" x14ac:dyDescent="0.25"/>
    <row r="195" s="21" customFormat="1" x14ac:dyDescent="0.25"/>
    <row r="196" s="21" customFormat="1" x14ac:dyDescent="0.25"/>
    <row r="197" s="21" customFormat="1" x14ac:dyDescent="0.25"/>
    <row r="198" s="21" customFormat="1" x14ac:dyDescent="0.25"/>
    <row r="199" s="21" customFormat="1" x14ac:dyDescent="0.25"/>
    <row r="200" s="21" customFormat="1" x14ac:dyDescent="0.25"/>
    <row r="201" s="21" customFormat="1" x14ac:dyDescent="0.25"/>
    <row r="202" s="21" customFormat="1" x14ac:dyDescent="0.25"/>
    <row r="203" s="21" customFormat="1" x14ac:dyDescent="0.25"/>
    <row r="204" s="21" customFormat="1" x14ac:dyDescent="0.25"/>
    <row r="205" s="21" customFormat="1" x14ac:dyDescent="0.25"/>
    <row r="206" s="21" customFormat="1" x14ac:dyDescent="0.25"/>
    <row r="207" s="21" customFormat="1" x14ac:dyDescent="0.25"/>
    <row r="208" s="21" customFormat="1" x14ac:dyDescent="0.25"/>
    <row r="209" s="21" customFormat="1" x14ac:dyDescent="0.25"/>
    <row r="210" s="21" customFormat="1" x14ac:dyDescent="0.25"/>
    <row r="211" s="21" customFormat="1" x14ac:dyDescent="0.25"/>
    <row r="212" s="21" customFormat="1" x14ac:dyDescent="0.25"/>
    <row r="213" s="21" customFormat="1" x14ac:dyDescent="0.25"/>
    <row r="214" s="21" customFormat="1" x14ac:dyDescent="0.25"/>
    <row r="215" s="21" customFormat="1" x14ac:dyDescent="0.25"/>
    <row r="216" s="21" customFormat="1" x14ac:dyDescent="0.25"/>
    <row r="217" s="21" customFormat="1" x14ac:dyDescent="0.25"/>
    <row r="218" s="21" customFormat="1" x14ac:dyDescent="0.25"/>
    <row r="219" s="21" customFormat="1" x14ac:dyDescent="0.25"/>
    <row r="220" s="21" customFormat="1" x14ac:dyDescent="0.25"/>
    <row r="221" s="21" customFormat="1" x14ac:dyDescent="0.25"/>
    <row r="222" s="21" customFormat="1" x14ac:dyDescent="0.25"/>
    <row r="223" s="21" customFormat="1" x14ac:dyDescent="0.25"/>
    <row r="224" s="21" customFormat="1" x14ac:dyDescent="0.25"/>
    <row r="225" s="21" customFormat="1" x14ac:dyDescent="0.25"/>
    <row r="226" s="21" customFormat="1" x14ac:dyDescent="0.25"/>
    <row r="227" s="21" customFormat="1" x14ac:dyDescent="0.25"/>
    <row r="228" s="21" customFormat="1" x14ac:dyDescent="0.25"/>
    <row r="229" s="21" customFormat="1" x14ac:dyDescent="0.25"/>
    <row r="230" s="21" customFormat="1" x14ac:dyDescent="0.25"/>
    <row r="231" s="21" customFormat="1" x14ac:dyDescent="0.25"/>
    <row r="232" s="21" customFormat="1" x14ac:dyDescent="0.25"/>
    <row r="233" s="21" customFormat="1" x14ac:dyDescent="0.25"/>
    <row r="234" s="21" customFormat="1" x14ac:dyDescent="0.25"/>
    <row r="235" s="21" customFormat="1" x14ac:dyDescent="0.25"/>
    <row r="236" s="21" customFormat="1" x14ac:dyDescent="0.25"/>
    <row r="237" s="21" customFormat="1" x14ac:dyDescent="0.25"/>
    <row r="238" s="21" customFormat="1" x14ac:dyDescent="0.25"/>
    <row r="239" s="21" customFormat="1" x14ac:dyDescent="0.25"/>
    <row r="240" s="21" customFormat="1" x14ac:dyDescent="0.25"/>
    <row r="241" s="21" customFormat="1" x14ac:dyDescent="0.25"/>
    <row r="242" s="21" customFormat="1" x14ac:dyDescent="0.25"/>
    <row r="243" s="21" customFormat="1" x14ac:dyDescent="0.25"/>
    <row r="244" s="21" customFormat="1" x14ac:dyDescent="0.25"/>
    <row r="245" s="21" customFormat="1" x14ac:dyDescent="0.25"/>
    <row r="246" s="21" customFormat="1" x14ac:dyDescent="0.25"/>
    <row r="247" s="21" customFormat="1" x14ac:dyDescent="0.25"/>
    <row r="248" s="21" customFormat="1" x14ac:dyDescent="0.25"/>
    <row r="249" s="21" customFormat="1" x14ac:dyDescent="0.25"/>
    <row r="250" s="21" customFormat="1" x14ac:dyDescent="0.25"/>
    <row r="251" s="21" customFormat="1" x14ac:dyDescent="0.25"/>
    <row r="252" s="21" customFormat="1" x14ac:dyDescent="0.25"/>
    <row r="253" s="21" customFormat="1" x14ac:dyDescent="0.25"/>
    <row r="254" s="21" customFormat="1" x14ac:dyDescent="0.25"/>
    <row r="255" s="21" customFormat="1" x14ac:dyDescent="0.25"/>
    <row r="256" s="21" customFormat="1" x14ac:dyDescent="0.25"/>
    <row r="257" s="21" customFormat="1" x14ac:dyDescent="0.25"/>
    <row r="258" s="21" customFormat="1" x14ac:dyDescent="0.25"/>
    <row r="259" s="21" customFormat="1" x14ac:dyDescent="0.25"/>
    <row r="260" s="21" customFormat="1" x14ac:dyDescent="0.25"/>
    <row r="261" s="21" customFormat="1" x14ac:dyDescent="0.25"/>
    <row r="262" s="21" customFormat="1" x14ac:dyDescent="0.25"/>
    <row r="263" s="21" customFormat="1" x14ac:dyDescent="0.25"/>
    <row r="264" s="21" customFormat="1" x14ac:dyDescent="0.25"/>
    <row r="265" s="21" customFormat="1" x14ac:dyDescent="0.25"/>
    <row r="266" s="21" customFormat="1" x14ac:dyDescent="0.25"/>
    <row r="267" s="21" customFormat="1" x14ac:dyDescent="0.25"/>
    <row r="268" s="21" customFormat="1" x14ac:dyDescent="0.25"/>
    <row r="269" s="21" customFormat="1" x14ac:dyDescent="0.25"/>
    <row r="270" s="21" customFormat="1" x14ac:dyDescent="0.25"/>
    <row r="271" s="21" customFormat="1" x14ac:dyDescent="0.25"/>
    <row r="272" s="21" customFormat="1" x14ac:dyDescent="0.25"/>
    <row r="273" s="21" customFormat="1" x14ac:dyDescent="0.25"/>
    <row r="274" s="21" customFormat="1" x14ac:dyDescent="0.25"/>
    <row r="275" s="21" customFormat="1" x14ac:dyDescent="0.25"/>
    <row r="276" s="21" customFormat="1" x14ac:dyDescent="0.25"/>
    <row r="277" s="21" customFormat="1" x14ac:dyDescent="0.25"/>
    <row r="278" s="21" customFormat="1" x14ac:dyDescent="0.25"/>
    <row r="279" s="21" customFormat="1" x14ac:dyDescent="0.25"/>
    <row r="280" s="21" customFormat="1" x14ac:dyDescent="0.25"/>
    <row r="281" s="21" customFormat="1" x14ac:dyDescent="0.25"/>
    <row r="282" s="21" customFormat="1" x14ac:dyDescent="0.25"/>
    <row r="283" s="21" customFormat="1" x14ac:dyDescent="0.25"/>
    <row r="284" s="21" customFormat="1" x14ac:dyDescent="0.25"/>
    <row r="285" s="21" customFormat="1" x14ac:dyDescent="0.25"/>
    <row r="286" s="21" customFormat="1" x14ac:dyDescent="0.25"/>
    <row r="287" s="21" customFormat="1" x14ac:dyDescent="0.25"/>
    <row r="288" s="21" customFormat="1" x14ac:dyDescent="0.25"/>
    <row r="289" s="21" customFormat="1" x14ac:dyDescent="0.25"/>
    <row r="290" s="21" customFormat="1" x14ac:dyDescent="0.25"/>
    <row r="291" s="21" customFormat="1" x14ac:dyDescent="0.25"/>
    <row r="292" s="21" customFormat="1" x14ac:dyDescent="0.25"/>
    <row r="293" s="21" customFormat="1" x14ac:dyDescent="0.25"/>
    <row r="294" s="21" customFormat="1" x14ac:dyDescent="0.25"/>
    <row r="295" s="21" customFormat="1" x14ac:dyDescent="0.25"/>
    <row r="296" s="21" customFormat="1" x14ac:dyDescent="0.25"/>
    <row r="297" s="21" customFormat="1" x14ac:dyDescent="0.25"/>
    <row r="298" s="21" customFormat="1" x14ac:dyDescent="0.25"/>
    <row r="299" s="21" customFormat="1" x14ac:dyDescent="0.25"/>
    <row r="300" s="21" customFormat="1" x14ac:dyDescent="0.25"/>
    <row r="301" s="21" customFormat="1" x14ac:dyDescent="0.25"/>
    <row r="302" s="21" customFormat="1" x14ac:dyDescent="0.25"/>
    <row r="303" s="21" customFormat="1" x14ac:dyDescent="0.25"/>
    <row r="304" s="21" customFormat="1" x14ac:dyDescent="0.25"/>
    <row r="305" s="21" customFormat="1" x14ac:dyDescent="0.25"/>
    <row r="306" s="21" customFormat="1" x14ac:dyDescent="0.25"/>
    <row r="307" s="21" customFormat="1" x14ac:dyDescent="0.25"/>
    <row r="308" s="21" customFormat="1" x14ac:dyDescent="0.25"/>
    <row r="309" s="21" customFormat="1" x14ac:dyDescent="0.25"/>
    <row r="310" s="21" customFormat="1" x14ac:dyDescent="0.25"/>
    <row r="311" s="21" customFormat="1" x14ac:dyDescent="0.25"/>
    <row r="312" s="21" customFormat="1" x14ac:dyDescent="0.25"/>
    <row r="313" s="21" customFormat="1" x14ac:dyDescent="0.25"/>
    <row r="314" s="21" customFormat="1" x14ac:dyDescent="0.25"/>
    <row r="315" s="21" customFormat="1" x14ac:dyDescent="0.25"/>
    <row r="316" s="21" customFormat="1" x14ac:dyDescent="0.25"/>
    <row r="317" s="21" customFormat="1" x14ac:dyDescent="0.25"/>
    <row r="318" s="21" customFormat="1" x14ac:dyDescent="0.25"/>
    <row r="319" s="21" customFormat="1" x14ac:dyDescent="0.25"/>
    <row r="320" s="21" customFormat="1" x14ac:dyDescent="0.25"/>
    <row r="321" s="21" customFormat="1" x14ac:dyDescent="0.25"/>
    <row r="322" s="21" customFormat="1" x14ac:dyDescent="0.25"/>
    <row r="323" s="21" customFormat="1" x14ac:dyDescent="0.25"/>
    <row r="324" s="21" customFormat="1" x14ac:dyDescent="0.25"/>
    <row r="325" s="21" customFormat="1" x14ac:dyDescent="0.25"/>
    <row r="326" s="21" customFormat="1" x14ac:dyDescent="0.25"/>
    <row r="327" s="21" customFormat="1" x14ac:dyDescent="0.25"/>
    <row r="328" s="21" customFormat="1" x14ac:dyDescent="0.25"/>
    <row r="329" s="21" customFormat="1" x14ac:dyDescent="0.25"/>
    <row r="330" s="21" customFormat="1" x14ac:dyDescent="0.25"/>
    <row r="331" s="21" customFormat="1" x14ac:dyDescent="0.25"/>
    <row r="332" s="21" customFormat="1" x14ac:dyDescent="0.25"/>
    <row r="333" s="21" customFormat="1" x14ac:dyDescent="0.25"/>
    <row r="334" s="21" customFormat="1" x14ac:dyDescent="0.25"/>
    <row r="335" s="21" customFormat="1" x14ac:dyDescent="0.25"/>
    <row r="336" s="21" customFormat="1" x14ac:dyDescent="0.25"/>
    <row r="337" s="21" customFormat="1" x14ac:dyDescent="0.25"/>
    <row r="338" s="21" customFormat="1" x14ac:dyDescent="0.25"/>
    <row r="339" s="21" customFormat="1" x14ac:dyDescent="0.25"/>
    <row r="340" s="21" customFormat="1" x14ac:dyDescent="0.25"/>
    <row r="341" s="21" customFormat="1" x14ac:dyDescent="0.25"/>
    <row r="342" s="21" customFormat="1" x14ac:dyDescent="0.25"/>
    <row r="343" s="21" customFormat="1" x14ac:dyDescent="0.25"/>
    <row r="344" s="21" customFormat="1" x14ac:dyDescent="0.25"/>
    <row r="345" s="21" customFormat="1" x14ac:dyDescent="0.25"/>
    <row r="346" s="21" customFormat="1" x14ac:dyDescent="0.25"/>
    <row r="347" s="21" customFormat="1" x14ac:dyDescent="0.25"/>
    <row r="348" s="21" customFormat="1" x14ac:dyDescent="0.25"/>
    <row r="349" s="21" customFormat="1" x14ac:dyDescent="0.25"/>
    <row r="350" s="21" customFormat="1" x14ac:dyDescent="0.25"/>
    <row r="351" s="21" customFormat="1" x14ac:dyDescent="0.25"/>
    <row r="352" s="21" customFormat="1" x14ac:dyDescent="0.25"/>
    <row r="353" s="21" customFormat="1" x14ac:dyDescent="0.25"/>
    <row r="354" s="21" customFormat="1" x14ac:dyDescent="0.25"/>
    <row r="355" s="21" customFormat="1" x14ac:dyDescent="0.25"/>
    <row r="356" s="21" customFormat="1" x14ac:dyDescent="0.25"/>
    <row r="357" s="21" customFormat="1" x14ac:dyDescent="0.25"/>
    <row r="358" s="21" customFormat="1" x14ac:dyDescent="0.25"/>
    <row r="359" s="21" customFormat="1" x14ac:dyDescent="0.25"/>
    <row r="360" s="21" customFormat="1" x14ac:dyDescent="0.25"/>
    <row r="361" s="21" customFormat="1" x14ac:dyDescent="0.25"/>
    <row r="362" s="21" customFormat="1" x14ac:dyDescent="0.25"/>
    <row r="363" s="21" customFormat="1" x14ac:dyDescent="0.25"/>
    <row r="364" s="21" customFormat="1" x14ac:dyDescent="0.25"/>
    <row r="365" s="21" customFormat="1" x14ac:dyDescent="0.25"/>
    <row r="366" s="21" customFormat="1" x14ac:dyDescent="0.25"/>
    <row r="367" s="21" customFormat="1" x14ac:dyDescent="0.25"/>
    <row r="368" s="21" customFormat="1" x14ac:dyDescent="0.25"/>
    <row r="369" s="21" customFormat="1" x14ac:dyDescent="0.25"/>
    <row r="370" s="21" customFormat="1" x14ac:dyDescent="0.25"/>
    <row r="371" s="21" customFormat="1" x14ac:dyDescent="0.25"/>
    <row r="372" s="21" customFormat="1" x14ac:dyDescent="0.25"/>
    <row r="373" s="21" customFormat="1" x14ac:dyDescent="0.25"/>
    <row r="374" s="21" customFormat="1" x14ac:dyDescent="0.25"/>
    <row r="375" s="21" customFormat="1" x14ac:dyDescent="0.25"/>
    <row r="376" s="21" customFormat="1" x14ac:dyDescent="0.25"/>
    <row r="377" s="21" customFormat="1" x14ac:dyDescent="0.25"/>
    <row r="378" s="21" customFormat="1" x14ac:dyDescent="0.25"/>
    <row r="379" s="21" customFormat="1" x14ac:dyDescent="0.25"/>
    <row r="380" s="21" customFormat="1" x14ac:dyDescent="0.25"/>
    <row r="381" s="21" customFormat="1" x14ac:dyDescent="0.25"/>
    <row r="382" s="21" customFormat="1" x14ac:dyDescent="0.25"/>
    <row r="383" s="21" customFormat="1" x14ac:dyDescent="0.25"/>
    <row r="384" s="21" customFormat="1" x14ac:dyDescent="0.25"/>
    <row r="385" s="21" customFormat="1" x14ac:dyDescent="0.25"/>
    <row r="386" s="21" customFormat="1" x14ac:dyDescent="0.25"/>
    <row r="387" s="21" customFormat="1" x14ac:dyDescent="0.25"/>
    <row r="388" s="21" customFormat="1" x14ac:dyDescent="0.25"/>
    <row r="389" s="21" customFormat="1" x14ac:dyDescent="0.25"/>
    <row r="390" s="21" customFormat="1" x14ac:dyDescent="0.25"/>
    <row r="391" s="21" customFormat="1" x14ac:dyDescent="0.25"/>
    <row r="392" s="21" customFormat="1" x14ac:dyDescent="0.25"/>
    <row r="393" s="21" customFormat="1" x14ac:dyDescent="0.25"/>
    <row r="394" s="21" customFormat="1" x14ac:dyDescent="0.25"/>
    <row r="395" s="21" customFormat="1" x14ac:dyDescent="0.25"/>
    <row r="396" s="21" customFormat="1" x14ac:dyDescent="0.25"/>
    <row r="397" s="21" customFormat="1" x14ac:dyDescent="0.25"/>
    <row r="398" s="21" customFormat="1" x14ac:dyDescent="0.25"/>
    <row r="399" s="21" customFormat="1" x14ac:dyDescent="0.25"/>
    <row r="400" s="21" customFormat="1" x14ac:dyDescent="0.25"/>
    <row r="401" s="21" customFormat="1" x14ac:dyDescent="0.25"/>
    <row r="402" s="21" customFormat="1" x14ac:dyDescent="0.25"/>
    <row r="403" s="21" customFormat="1" x14ac:dyDescent="0.25"/>
    <row r="404" s="21" customFormat="1" x14ac:dyDescent="0.25"/>
    <row r="405" s="21" customFormat="1" x14ac:dyDescent="0.25"/>
    <row r="406" s="21" customFormat="1" x14ac:dyDescent="0.25"/>
    <row r="407" s="21" customFormat="1" x14ac:dyDescent="0.25"/>
    <row r="408" s="21" customFormat="1" x14ac:dyDescent="0.25"/>
    <row r="409" s="21" customFormat="1" x14ac:dyDescent="0.25"/>
    <row r="410" s="21" customFormat="1" x14ac:dyDescent="0.25"/>
    <row r="411" s="21" customFormat="1" x14ac:dyDescent="0.25"/>
    <row r="412" s="21" customFormat="1" x14ac:dyDescent="0.25"/>
    <row r="413" s="21" customFormat="1" x14ac:dyDescent="0.25"/>
    <row r="414" s="21" customFormat="1" x14ac:dyDescent="0.25"/>
    <row r="415" s="21" customFormat="1" x14ac:dyDescent="0.25"/>
    <row r="416" s="21" customFormat="1" x14ac:dyDescent="0.25"/>
    <row r="417" s="21" customFormat="1" x14ac:dyDescent="0.25"/>
    <row r="418" s="21" customFormat="1" x14ac:dyDescent="0.25"/>
    <row r="419" s="21" customFormat="1" x14ac:dyDescent="0.25"/>
    <row r="420" s="21" customFormat="1" x14ac:dyDescent="0.25"/>
    <row r="421" s="21" customFormat="1" x14ac:dyDescent="0.25"/>
    <row r="422" s="21" customFormat="1" x14ac:dyDescent="0.25"/>
    <row r="423" s="21" customFormat="1" x14ac:dyDescent="0.25"/>
    <row r="424" s="21" customFormat="1" x14ac:dyDescent="0.25"/>
    <row r="425" s="21" customFormat="1" x14ac:dyDescent="0.25"/>
    <row r="426" s="21" customFormat="1" x14ac:dyDescent="0.25"/>
    <row r="427" s="21" customFormat="1" x14ac:dyDescent="0.25"/>
    <row r="428" s="21" customFormat="1" x14ac:dyDescent="0.25"/>
    <row r="429" s="21" customFormat="1" x14ac:dyDescent="0.25"/>
    <row r="430" s="21" customFormat="1" x14ac:dyDescent="0.25"/>
    <row r="431" s="21" customFormat="1" x14ac:dyDescent="0.25"/>
    <row r="432" s="21" customFormat="1" x14ac:dyDescent="0.25"/>
    <row r="433" s="21" customFormat="1" x14ac:dyDescent="0.25"/>
    <row r="434" s="21" customFormat="1" x14ac:dyDescent="0.25"/>
    <row r="435" s="21" customFormat="1" x14ac:dyDescent="0.25"/>
    <row r="436" s="21" customFormat="1" x14ac:dyDescent="0.25"/>
    <row r="437" s="21" customFormat="1" x14ac:dyDescent="0.25"/>
    <row r="438" s="21" customFormat="1" x14ac:dyDescent="0.25"/>
    <row r="439" s="21" customFormat="1" x14ac:dyDescent="0.25"/>
    <row r="440" s="21" customFormat="1" x14ac:dyDescent="0.25"/>
    <row r="441" s="21" customFormat="1" x14ac:dyDescent="0.25"/>
    <row r="442" s="21" customFormat="1" x14ac:dyDescent="0.25"/>
    <row r="443" s="21" customFormat="1" x14ac:dyDescent="0.25"/>
    <row r="444" s="21" customFormat="1" x14ac:dyDescent="0.25"/>
    <row r="445" s="21" customFormat="1" x14ac:dyDescent="0.25"/>
    <row r="446" s="21" customFormat="1" x14ac:dyDescent="0.25"/>
    <row r="447" s="21" customFormat="1" x14ac:dyDescent="0.25"/>
    <row r="448" s="21" customFormat="1" x14ac:dyDescent="0.25"/>
    <row r="449" s="21" customFormat="1" x14ac:dyDescent="0.25"/>
    <row r="450" s="21" customFormat="1" x14ac:dyDescent="0.25"/>
    <row r="451" s="21" customFormat="1" x14ac:dyDescent="0.25"/>
    <row r="452" s="21" customFormat="1" x14ac:dyDescent="0.25"/>
    <row r="453" s="21" customFormat="1" x14ac:dyDescent="0.25"/>
    <row r="454" s="21" customFormat="1" x14ac:dyDescent="0.25"/>
    <row r="455" s="21" customFormat="1" x14ac:dyDescent="0.25"/>
    <row r="456" s="21" customFormat="1" x14ac:dyDescent="0.25"/>
    <row r="457" s="21" customFormat="1" x14ac:dyDescent="0.25"/>
    <row r="458" s="21" customFormat="1" x14ac:dyDescent="0.25"/>
    <row r="459" s="21" customFormat="1" x14ac:dyDescent="0.25"/>
    <row r="460" s="21" customFormat="1" x14ac:dyDescent="0.25"/>
    <row r="461" s="21" customFormat="1" x14ac:dyDescent="0.25"/>
    <row r="462" s="21" customFormat="1" x14ac:dyDescent="0.25"/>
    <row r="463" s="21" customFormat="1" x14ac:dyDescent="0.25"/>
    <row r="464" s="21" customFormat="1" x14ac:dyDescent="0.25"/>
    <row r="465" s="21" customFormat="1" x14ac:dyDescent="0.25"/>
    <row r="466" s="21" customFormat="1" x14ac:dyDescent="0.25"/>
    <row r="467" s="21" customFormat="1" x14ac:dyDescent="0.25"/>
    <row r="468" s="21" customFormat="1" x14ac:dyDescent="0.25"/>
    <row r="469" s="21" customFormat="1" x14ac:dyDescent="0.25"/>
    <row r="470" s="21" customFormat="1" x14ac:dyDescent="0.25"/>
    <row r="471" s="21" customFormat="1" x14ac:dyDescent="0.25"/>
    <row r="472" s="21" customFormat="1" x14ac:dyDescent="0.25"/>
    <row r="473" s="21" customFormat="1" x14ac:dyDescent="0.25"/>
    <row r="474" s="21" customFormat="1" x14ac:dyDescent="0.25"/>
    <row r="475" s="21" customFormat="1" x14ac:dyDescent="0.25"/>
    <row r="476" s="21" customFormat="1" x14ac:dyDescent="0.25"/>
    <row r="477" s="21" customFormat="1" x14ac:dyDescent="0.25"/>
    <row r="478" s="21" customFormat="1" x14ac:dyDescent="0.25"/>
    <row r="479" s="21" customFormat="1" x14ac:dyDescent="0.25"/>
    <row r="480" s="21" customFormat="1" x14ac:dyDescent="0.25"/>
    <row r="481" s="21" customFormat="1" x14ac:dyDescent="0.25"/>
    <row r="482" s="21" customFormat="1" x14ac:dyDescent="0.25"/>
    <row r="483" s="21" customFormat="1" x14ac:dyDescent="0.25"/>
    <row r="484" s="21" customFormat="1" x14ac:dyDescent="0.25"/>
    <row r="485" s="21" customFormat="1" x14ac:dyDescent="0.25"/>
    <row r="486" s="21" customFormat="1" x14ac:dyDescent="0.25"/>
    <row r="487" s="21" customFormat="1" x14ac:dyDescent="0.25"/>
    <row r="488" s="21" customFormat="1" x14ac:dyDescent="0.25"/>
    <row r="489" s="21" customFormat="1" x14ac:dyDescent="0.25"/>
    <row r="490" s="21" customFormat="1" x14ac:dyDescent="0.25"/>
    <row r="491" s="21" customFormat="1" x14ac:dyDescent="0.25"/>
    <row r="492" s="21" customFormat="1" x14ac:dyDescent="0.25"/>
    <row r="493" s="21" customFormat="1" x14ac:dyDescent="0.25"/>
    <row r="494" s="21" customFormat="1" x14ac:dyDescent="0.25"/>
    <row r="495" s="21" customFormat="1" x14ac:dyDescent="0.25"/>
    <row r="496" s="21" customFormat="1" x14ac:dyDescent="0.25"/>
    <row r="497" s="21" customFormat="1" x14ac:dyDescent="0.25"/>
    <row r="498" s="21" customFormat="1" x14ac:dyDescent="0.25"/>
    <row r="499" s="21" customFormat="1" x14ac:dyDescent="0.25"/>
    <row r="500" s="21" customFormat="1" x14ac:dyDescent="0.25"/>
    <row r="501" s="21" customFormat="1" x14ac:dyDescent="0.25"/>
    <row r="502" s="21" customFormat="1" x14ac:dyDescent="0.25"/>
    <row r="503" s="21" customFormat="1" x14ac:dyDescent="0.25"/>
    <row r="504" s="21" customFormat="1" x14ac:dyDescent="0.25"/>
  </sheetData>
  <sheetProtection password="C120" sheet="1" selectLockedCells="1"/>
  <mergeCells count="16">
    <mergeCell ref="H46:I46"/>
    <mergeCell ref="H47:I47"/>
    <mergeCell ref="H48:I48"/>
    <mergeCell ref="H30:I30"/>
    <mergeCell ref="D35:F35"/>
    <mergeCell ref="H36:I36"/>
    <mergeCell ref="H37:I37"/>
    <mergeCell ref="H38:I38"/>
    <mergeCell ref="D45:F45"/>
    <mergeCell ref="H45:I45"/>
    <mergeCell ref="H29:I29"/>
    <mergeCell ref="D26:F26"/>
    <mergeCell ref="H26:I26"/>
    <mergeCell ref="D27:F27"/>
    <mergeCell ref="H27:I27"/>
    <mergeCell ref="H28:I28"/>
  </mergeCells>
  <dataValidations count="1">
    <dataValidation type="list" allowBlank="1" showInputMessage="1" showErrorMessage="1" sqref="D5 D12 D10 D7:D8">
      <formula1>$AF$3:$AF$4</formula1>
    </dataValidation>
  </dataValidations>
  <hyperlinks>
    <hyperlink ref="D9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48"/>
  <sheetViews>
    <sheetView showRowColHeaders="0" tabSelected="1" topLeftCell="A70" zoomScale="90" zoomScaleNormal="90" workbookViewId="0">
      <selection activeCell="I121" sqref="I121:I135"/>
    </sheetView>
  </sheetViews>
  <sheetFormatPr defaultColWidth="8.85546875" defaultRowHeight="15" x14ac:dyDescent="0.25"/>
  <cols>
    <col min="1" max="1" width="3.28515625" style="21" customWidth="1"/>
    <col min="2" max="2" width="3.5703125" style="21" customWidth="1"/>
    <col min="3" max="3" width="12" style="21" customWidth="1"/>
    <col min="4" max="4" width="12.140625" style="21" customWidth="1"/>
    <col min="5" max="5" width="17.7109375" style="21" customWidth="1"/>
    <col min="6" max="6" width="11.7109375" style="21" customWidth="1"/>
    <col min="7" max="7" width="12.42578125" style="21" customWidth="1"/>
    <col min="8" max="8" width="12" style="21" customWidth="1"/>
    <col min="9" max="9" width="11.42578125" style="21" customWidth="1"/>
    <col min="10" max="10" width="9.140625" style="21" bestFit="1" customWidth="1"/>
    <col min="11" max="11" width="10.28515625" style="21" customWidth="1"/>
    <col min="12" max="14" width="8.85546875" style="21"/>
    <col min="15" max="15" width="9.7109375" style="21" customWidth="1"/>
    <col min="16" max="16" width="14.42578125" style="21" customWidth="1"/>
    <col min="17" max="17" width="13.7109375" style="21" customWidth="1"/>
    <col min="18" max="18" width="14.28515625" style="21" customWidth="1"/>
    <col min="19" max="19" width="13.28515625" style="21" customWidth="1"/>
    <col min="20" max="20" width="13" style="21" customWidth="1"/>
    <col min="21" max="21" width="12.7109375" style="21" customWidth="1"/>
    <col min="22" max="24" width="12.28515625" style="21" customWidth="1"/>
    <col min="25" max="25" width="14.28515625" style="21" customWidth="1"/>
    <col min="26" max="26" width="8.85546875" style="21"/>
    <col min="27" max="30" width="0" style="21" hidden="1" customWidth="1"/>
    <col min="31" max="16384" width="8.85546875" style="21"/>
  </cols>
  <sheetData>
    <row r="1" spans="2:27" ht="18.75" x14ac:dyDescent="0.3">
      <c r="B1" s="23" t="s">
        <v>207</v>
      </c>
    </row>
    <row r="2" spans="2:27" ht="18.75" x14ac:dyDescent="0.3">
      <c r="B2" s="23"/>
    </row>
    <row r="3" spans="2:27" ht="18.75" x14ac:dyDescent="0.3">
      <c r="B3" s="23"/>
      <c r="C3" s="21" t="s">
        <v>200</v>
      </c>
    </row>
    <row r="4" spans="2:27" ht="18.75" x14ac:dyDescent="0.3">
      <c r="B4" s="23"/>
      <c r="C4" s="21" t="s">
        <v>201</v>
      </c>
    </row>
    <row r="5" spans="2:27" ht="18.75" x14ac:dyDescent="0.3">
      <c r="B5" s="23"/>
      <c r="C5" s="21" t="s">
        <v>202</v>
      </c>
    </row>
    <row r="6" spans="2:27" ht="18.75" x14ac:dyDescent="0.3">
      <c r="B6" s="23"/>
      <c r="D6" s="21" t="s">
        <v>204</v>
      </c>
    </row>
    <row r="7" spans="2:27" x14ac:dyDescent="0.25">
      <c r="D7" s="21" t="s">
        <v>203</v>
      </c>
    </row>
    <row r="8" spans="2:27" x14ac:dyDescent="0.25">
      <c r="D8" s="21" t="s">
        <v>205</v>
      </c>
    </row>
    <row r="9" spans="2:27" x14ac:dyDescent="0.25">
      <c r="D9" s="21" t="s">
        <v>292</v>
      </c>
    </row>
    <row r="11" spans="2:27" x14ac:dyDescent="0.25">
      <c r="C11" s="21" t="s">
        <v>293</v>
      </c>
      <c r="N11" s="22"/>
      <c r="AA11" s="79" t="s">
        <v>180</v>
      </c>
    </row>
    <row r="12" spans="2:27" x14ac:dyDescent="0.25">
      <c r="C12" s="21" t="s">
        <v>59</v>
      </c>
      <c r="AA12" s="22" t="s">
        <v>179</v>
      </c>
    </row>
    <row r="13" spans="2:27" x14ac:dyDescent="0.25">
      <c r="C13" s="21" t="s">
        <v>129</v>
      </c>
      <c r="AA13" s="22" t="s">
        <v>178</v>
      </c>
    </row>
    <row r="14" spans="2:27" x14ac:dyDescent="0.25">
      <c r="C14" s="21" t="s">
        <v>225</v>
      </c>
      <c r="AA14" s="22" t="s">
        <v>181</v>
      </c>
    </row>
    <row r="15" spans="2:27" x14ac:dyDescent="0.25">
      <c r="C15" s="21" t="s">
        <v>206</v>
      </c>
      <c r="AA15" s="22" t="s">
        <v>182</v>
      </c>
    </row>
    <row r="16" spans="2:27" x14ac:dyDescent="0.25">
      <c r="AA16" s="22" t="s">
        <v>183</v>
      </c>
    </row>
    <row r="17" spans="3:27" x14ac:dyDescent="0.25">
      <c r="C17" s="21" t="s">
        <v>130</v>
      </c>
      <c r="AA17" s="22" t="s">
        <v>184</v>
      </c>
    </row>
    <row r="18" spans="3:27" x14ac:dyDescent="0.25">
      <c r="D18" s="21" t="s">
        <v>174</v>
      </c>
      <c r="AA18" s="22" t="s">
        <v>185</v>
      </c>
    </row>
    <row r="19" spans="3:27" x14ac:dyDescent="0.25">
      <c r="D19" s="21" t="s">
        <v>175</v>
      </c>
      <c r="AA19" s="22" t="s">
        <v>186</v>
      </c>
    </row>
    <row r="20" spans="3:27" x14ac:dyDescent="0.25">
      <c r="D20" s="21" t="s">
        <v>176</v>
      </c>
      <c r="U20" s="39"/>
      <c r="AA20" s="22" t="s">
        <v>187</v>
      </c>
    </row>
    <row r="21" spans="3:27" x14ac:dyDescent="0.25">
      <c r="AA21" s="22" t="s">
        <v>188</v>
      </c>
    </row>
    <row r="22" spans="3:27" x14ac:dyDescent="0.25">
      <c r="AA22" s="79" t="s">
        <v>189</v>
      </c>
    </row>
    <row r="23" spans="3:27" x14ac:dyDescent="0.25">
      <c r="AA23" s="22" t="s">
        <v>190</v>
      </c>
    </row>
    <row r="24" spans="3:27" ht="18.75" x14ac:dyDescent="0.3">
      <c r="C24" s="23" t="s">
        <v>177</v>
      </c>
      <c r="AA24" s="22" t="s">
        <v>191</v>
      </c>
    </row>
    <row r="25" spans="3:27" ht="15.75" thickBot="1" x14ac:dyDescent="0.3">
      <c r="C25" s="22" t="s">
        <v>199</v>
      </c>
      <c r="AA25" s="22" t="s">
        <v>192</v>
      </c>
    </row>
    <row r="26" spans="3:27" ht="15.75" thickBot="1" x14ac:dyDescent="0.3">
      <c r="C26" s="177" t="s">
        <v>190</v>
      </c>
      <c r="D26" s="179"/>
      <c r="E26" s="179"/>
      <c r="F26" s="179"/>
      <c r="G26" s="179"/>
      <c r="H26" s="179"/>
      <c r="I26" s="179"/>
      <c r="J26" s="178"/>
      <c r="AA26" s="22" t="s">
        <v>193</v>
      </c>
    </row>
    <row r="27" spans="3:27" x14ac:dyDescent="0.25">
      <c r="AA27" s="22" t="s">
        <v>194</v>
      </c>
    </row>
    <row r="28" spans="3:27" ht="18.75" x14ac:dyDescent="0.3">
      <c r="C28" s="23" t="s">
        <v>131</v>
      </c>
      <c r="AA28" s="22" t="s">
        <v>195</v>
      </c>
    </row>
    <row r="29" spans="3:27" x14ac:dyDescent="0.25">
      <c r="AA29" s="22" t="s">
        <v>196</v>
      </c>
    </row>
    <row r="30" spans="3:27" x14ac:dyDescent="0.25">
      <c r="C30" s="21" t="s">
        <v>115</v>
      </c>
      <c r="AA30" s="22" t="s">
        <v>197</v>
      </c>
    </row>
    <row r="31" spans="3:27" x14ac:dyDescent="0.25">
      <c r="C31" s="21" t="s">
        <v>275</v>
      </c>
      <c r="E31" s="156" t="s">
        <v>276</v>
      </c>
      <c r="F31" s="156"/>
      <c r="G31" s="156"/>
      <c r="H31" s="156"/>
      <c r="AA31" s="22" t="s">
        <v>198</v>
      </c>
    </row>
    <row r="32" spans="3:27" x14ac:dyDescent="0.25">
      <c r="M32" s="22"/>
    </row>
    <row r="33" spans="3:27" x14ac:dyDescent="0.25">
      <c r="C33" s="21" t="s">
        <v>132</v>
      </c>
    </row>
    <row r="34" spans="3:27" x14ac:dyDescent="0.25">
      <c r="C34" s="21" t="s">
        <v>133</v>
      </c>
      <c r="AA34" s="22"/>
    </row>
    <row r="35" spans="3:27" x14ac:dyDescent="0.25">
      <c r="C35" s="21" t="s">
        <v>134</v>
      </c>
    </row>
    <row r="36" spans="3:27" x14ac:dyDescent="0.25">
      <c r="C36" s="21" t="s">
        <v>135</v>
      </c>
    </row>
    <row r="37" spans="3:27" ht="16.149999999999999" customHeight="1" x14ac:dyDescent="0.3">
      <c r="D37" s="21" t="s">
        <v>116</v>
      </c>
      <c r="P37" s="82"/>
    </row>
    <row r="38" spans="3:27" ht="16.149999999999999" customHeight="1" x14ac:dyDescent="0.25">
      <c r="P38" s="22"/>
    </row>
    <row r="39" spans="3:27" ht="16.149999999999999" customHeight="1" x14ac:dyDescent="0.25">
      <c r="C39" s="21" t="s">
        <v>136</v>
      </c>
    </row>
    <row r="40" spans="3:27" ht="16.149999999999999" customHeight="1" x14ac:dyDescent="0.25">
      <c r="C40" s="21" t="s">
        <v>137</v>
      </c>
    </row>
    <row r="41" spans="3:27" x14ac:dyDescent="0.25">
      <c r="C41" s="21" t="s">
        <v>138</v>
      </c>
    </row>
    <row r="42" spans="3:27" x14ac:dyDescent="0.25">
      <c r="C42" s="21" t="s">
        <v>139</v>
      </c>
    </row>
    <row r="43" spans="3:27" x14ac:dyDescent="0.25">
      <c r="C43" s="21" t="s">
        <v>294</v>
      </c>
      <c r="M43" s="88"/>
    </row>
    <row r="44" spans="3:27" x14ac:dyDescent="0.25">
      <c r="C44" s="21" t="s">
        <v>277</v>
      </c>
      <c r="M44" s="176"/>
      <c r="N44" s="176"/>
    </row>
    <row r="45" spans="3:27" x14ac:dyDescent="0.25">
      <c r="D45" s="21" t="s">
        <v>266</v>
      </c>
      <c r="M45" s="176"/>
      <c r="N45" s="176"/>
    </row>
    <row r="46" spans="3:27" x14ac:dyDescent="0.25">
      <c r="D46" s="21" t="s">
        <v>267</v>
      </c>
      <c r="M46" s="176"/>
      <c r="N46" s="176"/>
    </row>
    <row r="47" spans="3:27" x14ac:dyDescent="0.25">
      <c r="M47" s="176"/>
      <c r="N47" s="176"/>
    </row>
    <row r="48" spans="3:27" ht="14.45" customHeight="1" thickBot="1" x14ac:dyDescent="0.3">
      <c r="C48" s="22" t="s">
        <v>224</v>
      </c>
    </row>
    <row r="49" spans="3:27" x14ac:dyDescent="0.25">
      <c r="C49" s="64"/>
      <c r="D49" s="65"/>
      <c r="E49" s="65"/>
      <c r="F49" s="65"/>
      <c r="G49" s="65"/>
      <c r="H49" s="65"/>
      <c r="I49" s="66"/>
    </row>
    <row r="50" spans="3:27" ht="14.45" customHeight="1" x14ac:dyDescent="0.25">
      <c r="C50" s="67"/>
      <c r="D50" s="180" t="s">
        <v>3</v>
      </c>
      <c r="E50" s="180"/>
      <c r="F50" s="180"/>
      <c r="G50" s="180"/>
      <c r="H50" s="180"/>
      <c r="I50" s="68"/>
    </row>
    <row r="51" spans="3:27" ht="30" x14ac:dyDescent="0.25">
      <c r="C51" s="67"/>
      <c r="D51" s="151" t="s">
        <v>4</v>
      </c>
      <c r="E51" s="151" t="s">
        <v>5</v>
      </c>
      <c r="F51" s="151" t="s">
        <v>62</v>
      </c>
      <c r="G51" s="151" t="s">
        <v>0</v>
      </c>
      <c r="H51" s="151" t="s">
        <v>1</v>
      </c>
      <c r="I51" s="68"/>
    </row>
    <row r="52" spans="3:27" ht="28.9" customHeight="1" x14ac:dyDescent="0.25">
      <c r="C52" s="67"/>
      <c r="D52" s="152" t="s">
        <v>118</v>
      </c>
      <c r="E52" s="151" t="s">
        <v>119</v>
      </c>
      <c r="F52" s="152" t="s">
        <v>67</v>
      </c>
      <c r="G52" s="152">
        <v>44.1</v>
      </c>
      <c r="H52" s="153">
        <v>0.35299999999999998</v>
      </c>
      <c r="I52" s="68"/>
      <c r="U52" s="69"/>
      <c r="V52" s="69"/>
      <c r="W52" s="69"/>
      <c r="X52" s="69"/>
      <c r="Y52" s="69"/>
      <c r="Z52" s="69"/>
      <c r="AA52" s="69"/>
    </row>
    <row r="53" spans="3:27" ht="37.15" customHeight="1" x14ac:dyDescent="0.25">
      <c r="C53" s="67"/>
      <c r="D53" s="152">
        <v>134</v>
      </c>
      <c r="E53" s="151" t="s">
        <v>120</v>
      </c>
      <c r="F53" s="152" t="s">
        <v>117</v>
      </c>
      <c r="G53" s="152">
        <v>2.1</v>
      </c>
      <c r="H53" s="153">
        <v>1.7000000000000001E-2</v>
      </c>
      <c r="I53" s="68"/>
      <c r="M53" s="22"/>
      <c r="S53" s="181"/>
      <c r="T53" s="181"/>
      <c r="U53" s="181"/>
      <c r="V53" s="181"/>
      <c r="W53" s="181"/>
      <c r="X53" s="181"/>
      <c r="Y53" s="181"/>
      <c r="Z53" s="181"/>
      <c r="AA53" s="181"/>
    </row>
    <row r="54" spans="3:27" ht="45" x14ac:dyDescent="0.25">
      <c r="C54" s="67"/>
      <c r="D54" s="152">
        <v>136</v>
      </c>
      <c r="E54" s="151" t="s">
        <v>121</v>
      </c>
      <c r="F54" s="152" t="s">
        <v>117</v>
      </c>
      <c r="G54" s="152">
        <v>0</v>
      </c>
      <c r="H54" s="153">
        <v>0</v>
      </c>
      <c r="I54" s="68"/>
    </row>
    <row r="55" spans="3:27" ht="30" x14ac:dyDescent="0.25">
      <c r="C55" s="67"/>
      <c r="D55" s="152">
        <v>140</v>
      </c>
      <c r="E55" s="151" t="s">
        <v>122</v>
      </c>
      <c r="F55" s="152" t="s">
        <v>64</v>
      </c>
      <c r="G55" s="152">
        <v>0.6</v>
      </c>
      <c r="H55" s="153">
        <v>5.0000000000000001E-3</v>
      </c>
      <c r="I55" s="68"/>
    </row>
    <row r="56" spans="3:27" x14ac:dyDescent="0.25">
      <c r="C56" s="67"/>
      <c r="D56" s="152">
        <v>160</v>
      </c>
      <c r="E56" s="151" t="s">
        <v>123</v>
      </c>
      <c r="F56" s="152" t="s">
        <v>64</v>
      </c>
      <c r="G56" s="152">
        <v>15.4</v>
      </c>
      <c r="H56" s="153">
        <v>0.123</v>
      </c>
      <c r="I56" s="68"/>
    </row>
    <row r="57" spans="3:27" ht="45" x14ac:dyDescent="0.25">
      <c r="C57" s="67"/>
      <c r="D57" s="152">
        <v>181</v>
      </c>
      <c r="E57" s="151" t="s">
        <v>124</v>
      </c>
      <c r="F57" s="152" t="s">
        <v>8</v>
      </c>
      <c r="G57" s="152">
        <v>5.3</v>
      </c>
      <c r="H57" s="153">
        <v>4.2000000000000003E-2</v>
      </c>
      <c r="I57" s="68"/>
    </row>
    <row r="58" spans="3:27" x14ac:dyDescent="0.25">
      <c r="C58" s="67"/>
      <c r="D58" s="152">
        <v>183</v>
      </c>
      <c r="E58" s="151" t="s">
        <v>6</v>
      </c>
      <c r="F58" s="152" t="s">
        <v>63</v>
      </c>
      <c r="G58" s="152">
        <v>6.1</v>
      </c>
      <c r="H58" s="153">
        <v>4.8000000000000001E-2</v>
      </c>
      <c r="I58" s="68"/>
    </row>
    <row r="59" spans="3:27" ht="14.45" customHeight="1" x14ac:dyDescent="0.25">
      <c r="C59" s="67"/>
      <c r="D59" s="152" t="s">
        <v>125</v>
      </c>
      <c r="E59" s="151" t="s">
        <v>126</v>
      </c>
      <c r="F59" s="152" t="s">
        <v>8</v>
      </c>
      <c r="G59" s="152">
        <v>5.7</v>
      </c>
      <c r="H59" s="153">
        <v>4.5999999999999999E-2</v>
      </c>
      <c r="I59" s="68"/>
    </row>
    <row r="60" spans="3:27" x14ac:dyDescent="0.25">
      <c r="C60" s="67"/>
      <c r="D60" s="152">
        <v>281</v>
      </c>
      <c r="E60" s="151" t="s">
        <v>7</v>
      </c>
      <c r="F60" s="152" t="s">
        <v>64</v>
      </c>
      <c r="G60" s="152">
        <v>43</v>
      </c>
      <c r="H60" s="153">
        <v>0.34399999999999997</v>
      </c>
      <c r="I60" s="68"/>
    </row>
    <row r="61" spans="3:27" ht="14.45" customHeight="1" x14ac:dyDescent="0.25">
      <c r="C61" s="67"/>
      <c r="D61" s="152" t="s">
        <v>127</v>
      </c>
      <c r="E61" s="151" t="s">
        <v>128</v>
      </c>
      <c r="F61" s="152" t="s">
        <v>8</v>
      </c>
      <c r="G61" s="152">
        <v>2.8</v>
      </c>
      <c r="H61" s="153">
        <v>2.1999999999999999E-2</v>
      </c>
      <c r="I61" s="68"/>
    </row>
    <row r="62" spans="3:27" x14ac:dyDescent="0.25">
      <c r="C62" s="67"/>
      <c r="D62" s="184" t="s">
        <v>2</v>
      </c>
      <c r="E62" s="184"/>
      <c r="F62" s="184"/>
      <c r="G62" s="152">
        <v>125</v>
      </c>
      <c r="H62" s="153">
        <v>1</v>
      </c>
      <c r="I62" s="68"/>
    </row>
    <row r="63" spans="3:27" x14ac:dyDescent="0.25">
      <c r="C63" s="67"/>
      <c r="D63" s="154"/>
      <c r="E63" s="154"/>
      <c r="F63" s="154"/>
      <c r="G63" s="154"/>
      <c r="H63" s="154"/>
      <c r="I63" s="68"/>
    </row>
    <row r="64" spans="3:27" x14ac:dyDescent="0.25">
      <c r="C64" s="67"/>
      <c r="D64" s="154"/>
      <c r="E64" s="154"/>
      <c r="F64" s="154"/>
      <c r="G64" s="154"/>
      <c r="H64" s="154"/>
      <c r="I64" s="68"/>
    </row>
    <row r="65" spans="3:20" x14ac:dyDescent="0.25">
      <c r="C65" s="67"/>
      <c r="D65" s="154"/>
      <c r="E65" s="154"/>
      <c r="F65" s="154"/>
      <c r="G65" s="154"/>
      <c r="H65" s="154"/>
      <c r="I65" s="68"/>
    </row>
    <row r="66" spans="3:20" x14ac:dyDescent="0.25">
      <c r="C66" s="67"/>
      <c r="D66" s="154"/>
      <c r="E66" s="154"/>
      <c r="F66" s="154"/>
      <c r="G66" s="154"/>
      <c r="H66" s="154"/>
      <c r="I66" s="68"/>
    </row>
    <row r="67" spans="3:20" x14ac:dyDescent="0.25">
      <c r="C67" s="67"/>
      <c r="D67" s="154"/>
      <c r="E67" s="154"/>
      <c r="F67" s="154"/>
      <c r="G67" s="154"/>
      <c r="H67" s="154"/>
      <c r="I67" s="68"/>
    </row>
    <row r="68" spans="3:20" x14ac:dyDescent="0.25">
      <c r="C68" s="67"/>
      <c r="D68" s="154"/>
      <c r="E68" s="154"/>
      <c r="F68" s="154"/>
      <c r="G68" s="154"/>
      <c r="H68" s="154"/>
      <c r="I68" s="68"/>
    </row>
    <row r="69" spans="3:20" x14ac:dyDescent="0.25">
      <c r="C69" s="67"/>
      <c r="D69" s="154"/>
      <c r="E69" s="154"/>
      <c r="F69" s="154"/>
      <c r="G69" s="154"/>
      <c r="H69" s="154"/>
      <c r="I69" s="68"/>
    </row>
    <row r="70" spans="3:20" x14ac:dyDescent="0.25">
      <c r="C70" s="67"/>
      <c r="D70" s="154"/>
      <c r="E70" s="154"/>
      <c r="F70" s="154"/>
      <c r="G70" s="154"/>
      <c r="H70" s="154"/>
      <c r="I70" s="68"/>
    </row>
    <row r="71" spans="3:20" x14ac:dyDescent="0.25">
      <c r="C71" s="67"/>
      <c r="D71" s="154"/>
      <c r="E71" s="154"/>
      <c r="F71" s="154"/>
      <c r="G71" s="154"/>
      <c r="H71" s="154"/>
      <c r="I71" s="68"/>
    </row>
    <row r="72" spans="3:20" x14ac:dyDescent="0.25">
      <c r="C72" s="67"/>
      <c r="D72" s="154"/>
      <c r="E72" s="154"/>
      <c r="F72" s="154"/>
      <c r="G72" s="154"/>
      <c r="H72" s="154"/>
      <c r="I72" s="68"/>
    </row>
    <row r="73" spans="3:20" x14ac:dyDescent="0.25">
      <c r="C73" s="67"/>
      <c r="D73" s="154"/>
      <c r="E73" s="154"/>
      <c r="F73" s="154"/>
      <c r="G73" s="154"/>
      <c r="H73" s="154"/>
      <c r="I73" s="68"/>
    </row>
    <row r="74" spans="3:20" x14ac:dyDescent="0.25">
      <c r="C74" s="67"/>
      <c r="D74" s="154"/>
      <c r="E74" s="154"/>
      <c r="F74" s="154"/>
      <c r="G74" s="154"/>
      <c r="H74" s="154"/>
      <c r="I74" s="68"/>
    </row>
    <row r="75" spans="3:20" ht="14.45" customHeight="1" x14ac:dyDescent="0.25">
      <c r="C75" s="67"/>
      <c r="D75" s="154"/>
      <c r="E75" s="154"/>
      <c r="F75" s="154"/>
      <c r="G75" s="154"/>
      <c r="H75" s="154"/>
      <c r="I75" s="68"/>
      <c r="N75" s="22"/>
      <c r="T75" s="22"/>
    </row>
    <row r="76" spans="3:20" x14ac:dyDescent="0.25">
      <c r="C76" s="67"/>
      <c r="D76" s="154"/>
      <c r="E76" s="154"/>
      <c r="F76" s="154"/>
      <c r="G76" s="154"/>
      <c r="H76" s="154"/>
      <c r="I76" s="68"/>
    </row>
    <row r="77" spans="3:20" x14ac:dyDescent="0.25">
      <c r="C77" s="67"/>
      <c r="D77" s="154"/>
      <c r="E77" s="154"/>
      <c r="F77" s="154"/>
      <c r="G77" s="154"/>
      <c r="H77" s="154"/>
      <c r="I77" s="68"/>
    </row>
    <row r="78" spans="3:20" ht="15.75" thickBot="1" x14ac:dyDescent="0.3">
      <c r="C78" s="70"/>
      <c r="D78" s="71"/>
      <c r="E78" s="71"/>
      <c r="F78" s="71"/>
      <c r="G78" s="71"/>
      <c r="H78" s="71"/>
      <c r="I78" s="72"/>
    </row>
    <row r="79" spans="3:20" ht="15.75" thickBot="1" x14ac:dyDescent="0.3"/>
    <row r="80" spans="3:20" ht="15.75" thickBot="1" x14ac:dyDescent="0.3">
      <c r="D80" s="21" t="s">
        <v>141</v>
      </c>
      <c r="G80" s="143">
        <v>125</v>
      </c>
    </row>
    <row r="81" spans="3:14" ht="18.600000000000001" customHeight="1" x14ac:dyDescent="0.25"/>
    <row r="82" spans="3:14" ht="17.45" customHeight="1" x14ac:dyDescent="0.3">
      <c r="C82" s="23"/>
    </row>
    <row r="83" spans="3:14" ht="17.45" customHeight="1" x14ac:dyDescent="0.3">
      <c r="C83" s="23"/>
    </row>
    <row r="84" spans="3:14" x14ac:dyDescent="0.25">
      <c r="C84" s="21" t="s">
        <v>227</v>
      </c>
    </row>
    <row r="85" spans="3:14" ht="14.45" customHeight="1" x14ac:dyDescent="0.25">
      <c r="C85" s="21" t="s">
        <v>228</v>
      </c>
      <c r="N85" s="22" t="s">
        <v>142</v>
      </c>
    </row>
    <row r="86" spans="3:14" ht="15.6" customHeight="1" x14ac:dyDescent="0.25"/>
    <row r="87" spans="3:14" ht="14.45" customHeight="1" x14ac:dyDescent="0.25"/>
    <row r="88" spans="3:14" x14ac:dyDescent="0.25">
      <c r="C88" s="21" t="s">
        <v>143</v>
      </c>
    </row>
    <row r="89" spans="3:14" ht="15.6" customHeight="1" x14ac:dyDescent="0.25">
      <c r="C89" s="156" t="s">
        <v>60</v>
      </c>
      <c r="D89" s="174"/>
      <c r="E89" s="174"/>
      <c r="F89" s="174"/>
      <c r="G89" s="174"/>
    </row>
    <row r="90" spans="3:14" ht="15.6" customHeight="1" x14ac:dyDescent="0.25">
      <c r="C90" s="27"/>
    </row>
    <row r="91" spans="3:14" ht="15.6" customHeight="1" x14ac:dyDescent="0.3">
      <c r="C91" s="23" t="s">
        <v>165</v>
      </c>
    </row>
    <row r="92" spans="3:14" ht="15.6" customHeight="1" x14ac:dyDescent="0.25">
      <c r="C92" s="27"/>
    </row>
    <row r="93" spans="3:14" ht="15.6" customHeight="1" x14ac:dyDescent="0.25">
      <c r="C93" s="21" t="s">
        <v>144</v>
      </c>
    </row>
    <row r="94" spans="3:14" ht="15.6" customHeight="1" x14ac:dyDescent="0.25">
      <c r="D94" s="21" t="s">
        <v>145</v>
      </c>
    </row>
    <row r="95" spans="3:14" ht="15.6" customHeight="1" x14ac:dyDescent="0.25">
      <c r="D95" s="21" t="s">
        <v>146</v>
      </c>
    </row>
    <row r="96" spans="3:14" ht="15.6" customHeight="1" x14ac:dyDescent="0.25">
      <c r="D96" s="21" t="s">
        <v>147</v>
      </c>
    </row>
    <row r="97" spans="3:12" ht="15.6" customHeight="1" x14ac:dyDescent="0.25">
      <c r="D97" s="21" t="s">
        <v>148</v>
      </c>
    </row>
    <row r="98" spans="3:12" ht="15.6" customHeight="1" x14ac:dyDescent="0.25"/>
    <row r="99" spans="3:12" ht="15.6" customHeight="1" x14ac:dyDescent="0.25">
      <c r="C99" s="73" t="s">
        <v>149</v>
      </c>
    </row>
    <row r="100" spans="3:12" ht="15.6" customHeight="1" x14ac:dyDescent="0.25">
      <c r="C100" s="73"/>
      <c r="D100" s="21" t="s">
        <v>150</v>
      </c>
    </row>
    <row r="101" spans="3:12" ht="15.6" customHeight="1" x14ac:dyDescent="0.25">
      <c r="C101" s="73"/>
      <c r="D101" s="21" t="s">
        <v>151</v>
      </c>
    </row>
    <row r="102" spans="3:12" ht="15.6" customHeight="1" x14ac:dyDescent="0.25">
      <c r="C102" s="73"/>
      <c r="D102" s="21" t="s">
        <v>152</v>
      </c>
    </row>
    <row r="103" spans="3:12" ht="15.6" customHeight="1" x14ac:dyDescent="0.25">
      <c r="C103" s="73"/>
    </row>
    <row r="104" spans="3:12" ht="15.6" customHeight="1" x14ac:dyDescent="0.25">
      <c r="C104" s="73" t="s">
        <v>153</v>
      </c>
    </row>
    <row r="105" spans="3:12" ht="14.45" customHeight="1" x14ac:dyDescent="0.25"/>
    <row r="106" spans="3:12" ht="13.15" customHeight="1" x14ac:dyDescent="0.25">
      <c r="C106" s="74" t="s">
        <v>154</v>
      </c>
    </row>
    <row r="107" spans="3:12" ht="14.45" customHeight="1" x14ac:dyDescent="0.25">
      <c r="D107" s="21" t="s">
        <v>155</v>
      </c>
    </row>
    <row r="108" spans="3:12" ht="14.45" customHeight="1" x14ac:dyDescent="0.25">
      <c r="D108" s="21" t="s">
        <v>156</v>
      </c>
    </row>
    <row r="109" spans="3:12" x14ac:dyDescent="0.25">
      <c r="D109" s="21" t="s">
        <v>295</v>
      </c>
      <c r="G109" s="156" t="s">
        <v>60</v>
      </c>
      <c r="H109" s="175"/>
      <c r="I109" s="175"/>
      <c r="J109" s="175"/>
      <c r="K109" s="175"/>
      <c r="L109" s="175"/>
    </row>
    <row r="111" spans="3:12" x14ac:dyDescent="0.25">
      <c r="C111" s="21" t="s">
        <v>157</v>
      </c>
    </row>
    <row r="112" spans="3:12" x14ac:dyDescent="0.25">
      <c r="D112" s="21" t="s">
        <v>158</v>
      </c>
    </row>
    <row r="113" spans="3:10" x14ac:dyDescent="0.25">
      <c r="D113" s="21" t="s">
        <v>156</v>
      </c>
    </row>
    <row r="115" spans="3:10" x14ac:dyDescent="0.25">
      <c r="C115" s="21" t="s">
        <v>159</v>
      </c>
    </row>
    <row r="119" spans="3:10" ht="15.75" thickBot="1" x14ac:dyDescent="0.3">
      <c r="C119" s="22" t="s">
        <v>229</v>
      </c>
    </row>
    <row r="120" spans="3:10" ht="63.75" customHeight="1" thickBot="1" x14ac:dyDescent="0.3">
      <c r="C120" s="25" t="s">
        <v>160</v>
      </c>
      <c r="D120" s="24" t="s">
        <v>226</v>
      </c>
      <c r="E120" s="24" t="s">
        <v>161</v>
      </c>
      <c r="F120" s="182" t="s">
        <v>162</v>
      </c>
      <c r="G120" s="183"/>
      <c r="H120" s="26" t="s">
        <v>163</v>
      </c>
      <c r="I120" s="24" t="s">
        <v>164</v>
      </c>
      <c r="J120" s="30" t="s">
        <v>65</v>
      </c>
    </row>
    <row r="121" spans="3:10" ht="60.75" thickBot="1" x14ac:dyDescent="0.3">
      <c r="C121" s="80" t="str">
        <f>D52</f>
        <v>69B</v>
      </c>
      <c r="D121" s="81" t="str">
        <f>E52</f>
        <v>Fedji loamy fine sand, 3 to 8 percent slopes</v>
      </c>
      <c r="E121" s="149" t="s">
        <v>67</v>
      </c>
      <c r="F121" s="177" t="s">
        <v>66</v>
      </c>
      <c r="G121" s="178"/>
      <c r="H121" s="149">
        <v>81</v>
      </c>
      <c r="I121" s="265">
        <f>H52</f>
        <v>0.35299999999999998</v>
      </c>
      <c r="J121" s="28">
        <f>H121*I121</f>
        <v>28.593</v>
      </c>
    </row>
    <row r="122" spans="3:10" ht="30.75" thickBot="1" x14ac:dyDescent="0.3">
      <c r="C122" s="80">
        <f>IF(D53="Totals for Area of Interest",0,IF(D52=0,0,D53))</f>
        <v>134</v>
      </c>
      <c r="D122" s="81" t="str">
        <f t="shared" ref="D122:E134" si="0">E53</f>
        <v>Okoboji silty clay loam</v>
      </c>
      <c r="E122" s="149" t="s">
        <v>140</v>
      </c>
      <c r="F122" s="177" t="s">
        <v>66</v>
      </c>
      <c r="G122" s="178"/>
      <c r="H122" s="149">
        <v>88</v>
      </c>
      <c r="I122" s="265">
        <f t="shared" ref="I122:I134" si="1">H53</f>
        <v>1.7000000000000001E-2</v>
      </c>
      <c r="J122" s="28">
        <f t="shared" ref="J122:J134" si="2">H122*I122</f>
        <v>1.496</v>
      </c>
    </row>
    <row r="123" spans="3:10" ht="75.75" thickBot="1" x14ac:dyDescent="0.3">
      <c r="C123" s="80">
        <f t="shared" ref="C123:C134" si="3">IF(D54="Totals for Area of Interest",0,IF(D53=0,0,D54))</f>
        <v>136</v>
      </c>
      <c r="D123" s="81" t="str">
        <f t="shared" si="0"/>
        <v>Madelia silty clay loam, 0 to 2 percent slopes</v>
      </c>
      <c r="E123" s="149" t="s">
        <v>140</v>
      </c>
      <c r="F123" s="177" t="s">
        <v>66</v>
      </c>
      <c r="G123" s="178"/>
      <c r="H123" s="149">
        <v>88</v>
      </c>
      <c r="I123" s="265">
        <f t="shared" si="1"/>
        <v>0</v>
      </c>
      <c r="J123" s="28">
        <f t="shared" si="2"/>
        <v>0</v>
      </c>
    </row>
    <row r="124" spans="3:10" ht="30.75" thickBot="1" x14ac:dyDescent="0.3">
      <c r="C124" s="80">
        <f t="shared" si="3"/>
        <v>140</v>
      </c>
      <c r="D124" s="81" t="str">
        <f t="shared" si="0"/>
        <v>Spicer silty clay loam</v>
      </c>
      <c r="E124" s="149" t="s">
        <v>67</v>
      </c>
      <c r="F124" s="177" t="s">
        <v>66</v>
      </c>
      <c r="G124" s="178"/>
      <c r="H124" s="149">
        <v>81</v>
      </c>
      <c r="I124" s="265">
        <f t="shared" si="1"/>
        <v>5.0000000000000001E-3</v>
      </c>
      <c r="J124" s="28">
        <f t="shared" si="2"/>
        <v>0.40500000000000003</v>
      </c>
    </row>
    <row r="125" spans="3:10" ht="30.75" thickBot="1" x14ac:dyDescent="0.3">
      <c r="C125" s="80">
        <f t="shared" si="3"/>
        <v>160</v>
      </c>
      <c r="D125" s="81" t="str">
        <f t="shared" si="0"/>
        <v>Fieldon loam</v>
      </c>
      <c r="E125" s="149" t="s">
        <v>67</v>
      </c>
      <c r="F125" s="177" t="s">
        <v>66</v>
      </c>
      <c r="G125" s="178"/>
      <c r="H125" s="149">
        <v>81</v>
      </c>
      <c r="I125" s="265">
        <f t="shared" si="1"/>
        <v>0.123</v>
      </c>
      <c r="J125" s="28">
        <f t="shared" si="2"/>
        <v>9.9629999999999992</v>
      </c>
    </row>
    <row r="126" spans="3:10" ht="75.75" thickBot="1" x14ac:dyDescent="0.3">
      <c r="C126" s="80">
        <f t="shared" si="3"/>
        <v>181</v>
      </c>
      <c r="D126" s="81" t="str">
        <f t="shared" si="0"/>
        <v>Litchfield loamy fine sand, 1 to 3 percent slopes</v>
      </c>
      <c r="E126" s="149" t="str">
        <f t="shared" si="0"/>
        <v>A</v>
      </c>
      <c r="F126" s="177" t="s">
        <v>66</v>
      </c>
      <c r="G126" s="178"/>
      <c r="H126" s="149">
        <v>72</v>
      </c>
      <c r="I126" s="265">
        <f t="shared" si="1"/>
        <v>4.2000000000000003E-2</v>
      </c>
      <c r="J126" s="28">
        <f t="shared" si="2"/>
        <v>3.024</v>
      </c>
    </row>
    <row r="127" spans="3:10" ht="15.75" thickBot="1" x14ac:dyDescent="0.3">
      <c r="C127" s="80">
        <f t="shared" si="3"/>
        <v>183</v>
      </c>
      <c r="D127" s="81" t="str">
        <f t="shared" si="0"/>
        <v>Dassel loam</v>
      </c>
      <c r="E127" s="149" t="s">
        <v>8</v>
      </c>
      <c r="F127" s="177" t="s">
        <v>66</v>
      </c>
      <c r="G127" s="178"/>
      <c r="H127" s="149">
        <v>72</v>
      </c>
      <c r="I127" s="265">
        <f t="shared" si="1"/>
        <v>4.8000000000000001E-2</v>
      </c>
      <c r="J127" s="28">
        <f t="shared" si="2"/>
        <v>3.456</v>
      </c>
    </row>
    <row r="128" spans="3:10" ht="60.75" thickBot="1" x14ac:dyDescent="0.3">
      <c r="C128" s="80" t="str">
        <f t="shared" si="3"/>
        <v>222B</v>
      </c>
      <c r="D128" s="81" t="str">
        <f t="shared" si="0"/>
        <v>Lasa fine sand, 2 to 8 percent slopes</v>
      </c>
      <c r="E128" s="149" t="str">
        <f t="shared" si="0"/>
        <v>A</v>
      </c>
      <c r="F128" s="177" t="s">
        <v>66</v>
      </c>
      <c r="G128" s="178"/>
      <c r="H128" s="149">
        <v>72</v>
      </c>
      <c r="I128" s="265">
        <f t="shared" si="1"/>
        <v>4.5999999999999999E-2</v>
      </c>
      <c r="J128" s="28">
        <f t="shared" si="2"/>
        <v>3.3119999999999998</v>
      </c>
    </row>
    <row r="129" spans="2:17" ht="15.75" thickBot="1" x14ac:dyDescent="0.3">
      <c r="C129" s="80">
        <f t="shared" si="3"/>
        <v>281</v>
      </c>
      <c r="D129" s="81" t="str">
        <f t="shared" si="0"/>
        <v>Darfur loam</v>
      </c>
      <c r="E129" s="149" t="s">
        <v>67</v>
      </c>
      <c r="F129" s="177" t="s">
        <v>66</v>
      </c>
      <c r="G129" s="178"/>
      <c r="H129" s="149">
        <v>81</v>
      </c>
      <c r="I129" s="265">
        <f t="shared" si="1"/>
        <v>0.34399999999999997</v>
      </c>
      <c r="J129" s="28">
        <f t="shared" si="2"/>
        <v>27.863999999999997</v>
      </c>
    </row>
    <row r="130" spans="2:17" ht="75.75" thickBot="1" x14ac:dyDescent="0.3">
      <c r="C130" s="80" t="str">
        <f t="shared" si="3"/>
        <v>1801B</v>
      </c>
      <c r="D130" s="81" t="str">
        <f t="shared" si="0"/>
        <v>Grogan loamy fine sand, 2 to 6 percent slopes</v>
      </c>
      <c r="E130" s="149" t="str">
        <f t="shared" si="0"/>
        <v>A</v>
      </c>
      <c r="F130" s="177" t="s">
        <v>66</v>
      </c>
      <c r="G130" s="178"/>
      <c r="H130" s="149">
        <v>72</v>
      </c>
      <c r="I130" s="265">
        <f t="shared" si="1"/>
        <v>2.1999999999999999E-2</v>
      </c>
      <c r="J130" s="28">
        <f t="shared" si="2"/>
        <v>1.5839999999999999</v>
      </c>
    </row>
    <row r="131" spans="2:17" ht="15.75" thickBot="1" x14ac:dyDescent="0.3">
      <c r="C131" s="80">
        <f t="shared" si="3"/>
        <v>0</v>
      </c>
      <c r="D131" s="81">
        <f t="shared" si="0"/>
        <v>0</v>
      </c>
      <c r="E131" s="149">
        <f t="shared" si="0"/>
        <v>0</v>
      </c>
      <c r="F131" s="177"/>
      <c r="G131" s="178"/>
      <c r="H131" s="149"/>
      <c r="I131" s="265">
        <f t="shared" si="1"/>
        <v>1</v>
      </c>
      <c r="J131" s="28">
        <f t="shared" si="2"/>
        <v>0</v>
      </c>
    </row>
    <row r="132" spans="2:17" ht="15.75" thickBot="1" x14ac:dyDescent="0.3">
      <c r="C132" s="80">
        <f t="shared" si="3"/>
        <v>0</v>
      </c>
      <c r="D132" s="81">
        <f t="shared" si="0"/>
        <v>0</v>
      </c>
      <c r="E132" s="149">
        <f t="shared" si="0"/>
        <v>0</v>
      </c>
      <c r="F132" s="177"/>
      <c r="G132" s="178"/>
      <c r="H132" s="149"/>
      <c r="I132" s="265">
        <f t="shared" si="1"/>
        <v>0</v>
      </c>
      <c r="J132" s="28">
        <f t="shared" si="2"/>
        <v>0</v>
      </c>
    </row>
    <row r="133" spans="2:17" ht="15.75" thickBot="1" x14ac:dyDescent="0.3">
      <c r="C133" s="80">
        <f t="shared" si="3"/>
        <v>0</v>
      </c>
      <c r="D133" s="81">
        <f t="shared" si="0"/>
        <v>0</v>
      </c>
      <c r="E133" s="149">
        <f t="shared" si="0"/>
        <v>0</v>
      </c>
      <c r="F133" s="177"/>
      <c r="G133" s="178"/>
      <c r="H133" s="149"/>
      <c r="I133" s="265">
        <f t="shared" si="1"/>
        <v>0</v>
      </c>
      <c r="J133" s="28">
        <f t="shared" si="2"/>
        <v>0</v>
      </c>
    </row>
    <row r="134" spans="2:17" ht="15.75" thickBot="1" x14ac:dyDescent="0.3">
      <c r="C134" s="80">
        <f t="shared" si="3"/>
        <v>0</v>
      </c>
      <c r="D134" s="81">
        <f t="shared" si="0"/>
        <v>0</v>
      </c>
      <c r="E134" s="149">
        <f t="shared" si="0"/>
        <v>0</v>
      </c>
      <c r="F134" s="177"/>
      <c r="G134" s="178"/>
      <c r="H134" s="150"/>
      <c r="I134" s="265">
        <f t="shared" si="1"/>
        <v>0</v>
      </c>
      <c r="J134" s="29">
        <f t="shared" si="2"/>
        <v>0</v>
      </c>
    </row>
    <row r="135" spans="2:17" ht="15.75" thickBot="1" x14ac:dyDescent="0.3">
      <c r="C135" s="32"/>
      <c r="D135" s="33"/>
      <c r="E135" s="33"/>
      <c r="F135" s="33"/>
      <c r="G135" s="33"/>
      <c r="H135" s="33"/>
      <c r="I135" s="266">
        <f>SUM(I121:I134)/2</f>
        <v>1</v>
      </c>
      <c r="J135" s="28">
        <f>SUM(J121:J134)</f>
        <v>79.697000000000003</v>
      </c>
    </row>
    <row r="136" spans="2:17" ht="15.75" thickBot="1" x14ac:dyDescent="0.3">
      <c r="C136" s="34"/>
      <c r="D136" s="35"/>
      <c r="E136" s="31" t="s">
        <v>68</v>
      </c>
      <c r="F136" s="38">
        <f>J135/I135</f>
        <v>79.697000000000003</v>
      </c>
      <c r="G136" s="37">
        <f>ROUND(F136,0)</f>
        <v>80</v>
      </c>
      <c r="H136" s="35"/>
      <c r="I136" s="35"/>
      <c r="J136" s="36"/>
    </row>
    <row r="140" spans="2:17" ht="18.75" x14ac:dyDescent="0.3">
      <c r="B140" s="23" t="s">
        <v>230</v>
      </c>
      <c r="L140" s="75"/>
      <c r="M140" s="76"/>
      <c r="N140" s="76"/>
      <c r="O140" s="76"/>
      <c r="P140" s="75"/>
      <c r="Q140" s="76"/>
    </row>
    <row r="142" spans="2:17" x14ac:dyDescent="0.25">
      <c r="D142" s="53"/>
      <c r="E142" s="53"/>
      <c r="F142" s="53"/>
      <c r="G142" s="53"/>
      <c r="H142" s="53"/>
      <c r="I142" s="53"/>
      <c r="J142" s="53"/>
      <c r="K142" s="53"/>
      <c r="L142" s="53"/>
      <c r="M142" s="53"/>
    </row>
    <row r="143" spans="2:17" ht="15.75" thickBot="1" x14ac:dyDescent="0.3">
      <c r="D143" s="21" t="s">
        <v>231</v>
      </c>
      <c r="L143" s="53"/>
      <c r="M143" s="53"/>
    </row>
    <row r="144" spans="2:17" ht="15.75" thickBot="1" x14ac:dyDescent="0.3">
      <c r="E144" s="93">
        <f>G80</f>
        <v>125</v>
      </c>
      <c r="F144" s="21" t="s">
        <v>166</v>
      </c>
      <c r="L144" s="53"/>
      <c r="M144" s="53"/>
    </row>
    <row r="145" spans="4:13" ht="15.75" thickBot="1" x14ac:dyDescent="0.3">
      <c r="E145" s="53"/>
      <c r="L145" s="53"/>
      <c r="M145" s="53"/>
    </row>
    <row r="146" spans="4:13" ht="15.75" thickBot="1" x14ac:dyDescent="0.3">
      <c r="D146" s="53" t="s">
        <v>167</v>
      </c>
      <c r="E146" s="53"/>
      <c r="F146" s="53"/>
      <c r="G146" s="53"/>
      <c r="H146" s="53"/>
      <c r="L146" s="94">
        <f>'Selecting Precipitation Amount'!D20</f>
        <v>2.92</v>
      </c>
      <c r="M146" s="53" t="s">
        <v>168</v>
      </c>
    </row>
    <row r="147" spans="4:13" x14ac:dyDescent="0.25">
      <c r="D147" s="53"/>
      <c r="E147" s="53"/>
      <c r="F147" s="53"/>
      <c r="G147" s="53"/>
      <c r="H147" s="53"/>
      <c r="L147" s="53"/>
      <c r="M147" s="53"/>
    </row>
    <row r="148" spans="4:13" ht="21" customHeight="1" x14ac:dyDescent="0.25">
      <c r="D148" s="21" t="s">
        <v>232</v>
      </c>
      <c r="L148" s="53"/>
      <c r="M148" s="53"/>
    </row>
    <row r="150" spans="4:13" ht="22.15" customHeight="1" x14ac:dyDescent="0.3">
      <c r="E150" s="23" t="s">
        <v>234</v>
      </c>
      <c r="G150" s="22"/>
      <c r="H150" s="22"/>
      <c r="K150" s="147" t="s">
        <v>50</v>
      </c>
      <c r="L150" s="148">
        <f>1000/G136-10</f>
        <v>2.5</v>
      </c>
      <c r="M150" s="83"/>
    </row>
    <row r="151" spans="4:13" ht="15.75" thickBot="1" x14ac:dyDescent="0.3">
      <c r="E151" s="22" t="s">
        <v>235</v>
      </c>
    </row>
    <row r="152" spans="4:13" ht="15.75" thickBot="1" x14ac:dyDescent="0.3">
      <c r="E152" s="187" t="s">
        <v>51</v>
      </c>
      <c r="F152" s="198"/>
      <c r="G152" s="188"/>
      <c r="H152" s="50" t="s">
        <v>52</v>
      </c>
      <c r="I152" s="187" t="s">
        <v>53</v>
      </c>
      <c r="J152" s="188"/>
    </row>
    <row r="153" spans="4:13" ht="15.75" thickBot="1" x14ac:dyDescent="0.3">
      <c r="E153" s="189" t="s">
        <v>233</v>
      </c>
      <c r="F153" s="190"/>
      <c r="G153" s="191"/>
      <c r="H153" s="77">
        <f>E144</f>
        <v>125</v>
      </c>
      <c r="I153" s="192" t="s">
        <v>54</v>
      </c>
      <c r="J153" s="193"/>
    </row>
    <row r="154" spans="4:13" x14ac:dyDescent="0.25">
      <c r="E154" s="42"/>
      <c r="F154" s="43"/>
      <c r="G154" s="78" t="s">
        <v>55</v>
      </c>
      <c r="H154" s="40">
        <f>($L$146-0.2*$L$150)^2/($L$146+0.08*$L$150)</f>
        <v>1.8770512820512819</v>
      </c>
      <c r="I154" s="194" t="s">
        <v>296</v>
      </c>
      <c r="J154" s="195"/>
    </row>
    <row r="155" spans="4:13" x14ac:dyDescent="0.25">
      <c r="E155" s="47"/>
      <c r="F155" s="48"/>
      <c r="G155" s="49" t="s">
        <v>55</v>
      </c>
      <c r="H155" s="51">
        <f>H154/12*43560</f>
        <v>6813.6961538461537</v>
      </c>
      <c r="I155" s="196" t="s">
        <v>56</v>
      </c>
      <c r="J155" s="197"/>
    </row>
    <row r="156" spans="4:13" ht="15.75" thickBot="1" x14ac:dyDescent="0.3">
      <c r="E156" s="44"/>
      <c r="F156" s="45"/>
      <c r="G156" s="46" t="s">
        <v>57</v>
      </c>
      <c r="H156" s="41">
        <f>H153*H154/12</f>
        <v>19.55261752136752</v>
      </c>
      <c r="I156" s="185" t="s">
        <v>58</v>
      </c>
      <c r="J156" s="186"/>
    </row>
    <row r="183" ht="16.149999999999999" customHeight="1" x14ac:dyDescent="0.25"/>
    <row r="235" ht="28.9" customHeight="1" x14ac:dyDescent="0.25"/>
    <row r="246" ht="14.45" customHeight="1" x14ac:dyDescent="0.25"/>
    <row r="248" ht="14.45" customHeight="1" x14ac:dyDescent="0.25"/>
  </sheetData>
  <sheetProtection selectLockedCells="1"/>
  <mergeCells count="30">
    <mergeCell ref="F130:G130"/>
    <mergeCell ref="I156:J156"/>
    <mergeCell ref="I152:J152"/>
    <mergeCell ref="E153:G153"/>
    <mergeCell ref="I153:J153"/>
    <mergeCell ref="I154:J154"/>
    <mergeCell ref="I155:J155"/>
    <mergeCell ref="E152:G152"/>
    <mergeCell ref="F133:G133"/>
    <mergeCell ref="F134:G134"/>
    <mergeCell ref="C26:J26"/>
    <mergeCell ref="D50:H50"/>
    <mergeCell ref="S53:AA53"/>
    <mergeCell ref="F120:G120"/>
    <mergeCell ref="F132:G132"/>
    <mergeCell ref="F127:G127"/>
    <mergeCell ref="D62:F62"/>
    <mergeCell ref="F121:G121"/>
    <mergeCell ref="F122:G122"/>
    <mergeCell ref="F123:G123"/>
    <mergeCell ref="E31:H31"/>
    <mergeCell ref="C89:G89"/>
    <mergeCell ref="G109:L109"/>
    <mergeCell ref="M44:N47"/>
    <mergeCell ref="F124:G124"/>
    <mergeCell ref="F131:G131"/>
    <mergeCell ref="F125:G125"/>
    <mergeCell ref="F126:G126"/>
    <mergeCell ref="F128:G128"/>
    <mergeCell ref="F129:G129"/>
  </mergeCells>
  <conditionalFormatting sqref="D63:H77">
    <cfRule type="containsBlanks" dxfId="2" priority="2">
      <formula>LEN(TRIM(D63))=0</formula>
    </cfRule>
  </conditionalFormatting>
  <conditionalFormatting sqref="C26">
    <cfRule type="containsBlanks" dxfId="1" priority="1">
      <formula>LEN(TRIM(C26))=0</formula>
    </cfRule>
  </conditionalFormatting>
  <dataValidations count="1">
    <dataValidation type="list" allowBlank="1" showInputMessage="1" showErrorMessage="1" sqref="C26">
      <formula1>$AA$11:$AA$33</formula1>
    </dataValidation>
  </dataValidations>
  <hyperlinks>
    <hyperlink ref="E31" r:id="rId1"/>
    <hyperlink ref="C89" r:id="rId2"/>
    <hyperlink ref="G109" r:id="rId3"/>
  </hyperlinks>
  <pageMargins left="0.7" right="0.7" top="0.75" bottom="0.75" header="0.3" footer="0.3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43"/>
  <sheetViews>
    <sheetView showRowColHeaders="0" zoomScale="90" zoomScaleNormal="90" workbookViewId="0">
      <selection activeCell="E3" sqref="E3:I3"/>
    </sheetView>
  </sheetViews>
  <sheetFormatPr defaultColWidth="8.85546875" defaultRowHeight="15" x14ac:dyDescent="0.25"/>
  <cols>
    <col min="1" max="1" width="8.85546875" style="21"/>
    <col min="2" max="2" width="5.140625" style="21" customWidth="1"/>
    <col min="3" max="4" width="8.85546875" style="21"/>
    <col min="5" max="5" width="13.28515625" style="21" customWidth="1"/>
    <col min="6" max="8" width="8.85546875" style="21"/>
    <col min="9" max="9" width="9.85546875" style="21" customWidth="1"/>
    <col min="10" max="16384" width="8.85546875" style="21"/>
  </cols>
  <sheetData>
    <row r="2" spans="2:37" ht="19.5" thickBot="1" x14ac:dyDescent="0.35">
      <c r="B2" s="23" t="s">
        <v>208</v>
      </c>
    </row>
    <row r="3" spans="2:37" ht="15.75" thickBot="1" x14ac:dyDescent="0.3">
      <c r="B3" s="87"/>
      <c r="C3" s="22" t="s">
        <v>241</v>
      </c>
      <c r="D3" s="22"/>
      <c r="E3" s="223" t="s">
        <v>250</v>
      </c>
      <c r="F3" s="224"/>
      <c r="G3" s="224"/>
      <c r="H3" s="224"/>
      <c r="I3" s="225"/>
    </row>
    <row r="4" spans="2:37" x14ac:dyDescent="0.25">
      <c r="B4" s="87"/>
      <c r="C4" s="22"/>
      <c r="D4" s="22"/>
      <c r="E4" s="89"/>
      <c r="F4" s="89"/>
      <c r="G4" s="89"/>
      <c r="H4" s="89"/>
      <c r="I4" s="89"/>
    </row>
    <row r="5" spans="2:37" x14ac:dyDescent="0.25">
      <c r="C5" s="21" t="s">
        <v>209</v>
      </c>
      <c r="AK5" s="21" t="s">
        <v>248</v>
      </c>
    </row>
    <row r="6" spans="2:37" x14ac:dyDescent="0.25">
      <c r="C6" s="21" t="s">
        <v>259</v>
      </c>
      <c r="AK6" s="21" t="s">
        <v>256</v>
      </c>
    </row>
    <row r="7" spans="2:37" x14ac:dyDescent="0.25">
      <c r="C7" s="21" t="s">
        <v>210</v>
      </c>
      <c r="AK7" s="21" t="s">
        <v>257</v>
      </c>
    </row>
    <row r="8" spans="2:37" x14ac:dyDescent="0.25">
      <c r="AK8" s="21" t="s">
        <v>249</v>
      </c>
    </row>
    <row r="9" spans="2:37" x14ac:dyDescent="0.25">
      <c r="C9" s="21" t="s">
        <v>236</v>
      </c>
      <c r="AK9" s="21" t="s">
        <v>250</v>
      </c>
    </row>
    <row r="10" spans="2:37" x14ac:dyDescent="0.25">
      <c r="C10" s="21" t="s">
        <v>211</v>
      </c>
    </row>
    <row r="11" spans="2:37" x14ac:dyDescent="0.25">
      <c r="C11" s="21" t="s">
        <v>212</v>
      </c>
    </row>
    <row r="12" spans="2:37" ht="15.75" thickBot="1" x14ac:dyDescent="0.3"/>
    <row r="13" spans="2:37" ht="15.75" thickBot="1" x14ac:dyDescent="0.3">
      <c r="D13" s="21" t="s">
        <v>258</v>
      </c>
      <c r="J13" s="143">
        <v>1205</v>
      </c>
      <c r="K13" s="21" t="s">
        <v>213</v>
      </c>
      <c r="W13" s="83" t="s">
        <v>220</v>
      </c>
    </row>
    <row r="14" spans="2:37" x14ac:dyDescent="0.25">
      <c r="W14" s="83" t="s">
        <v>221</v>
      </c>
    </row>
    <row r="15" spans="2:37" ht="15.75" thickBot="1" x14ac:dyDescent="0.3">
      <c r="D15" s="21" t="s">
        <v>215</v>
      </c>
      <c r="W15" s="83" t="s">
        <v>222</v>
      </c>
    </row>
    <row r="16" spans="2:37" ht="15.75" thickBot="1" x14ac:dyDescent="0.3">
      <c r="D16" s="21" t="s">
        <v>214</v>
      </c>
      <c r="J16" s="143">
        <v>1206</v>
      </c>
      <c r="K16" s="21" t="s">
        <v>213</v>
      </c>
    </row>
    <row r="17" spans="4:13" ht="15.75" thickBot="1" x14ac:dyDescent="0.3"/>
    <row r="18" spans="4:13" ht="15.75" thickBot="1" x14ac:dyDescent="0.3">
      <c r="D18" s="21" t="s">
        <v>216</v>
      </c>
      <c r="G18" s="146">
        <f>J16-J13</f>
        <v>1</v>
      </c>
      <c r="H18" s="53"/>
      <c r="I18" s="144" t="s">
        <v>239</v>
      </c>
      <c r="J18" s="145" t="b">
        <f>ISEVEN(G18)</f>
        <v>0</v>
      </c>
    </row>
    <row r="19" spans="4:13" x14ac:dyDescent="0.25">
      <c r="G19" s="86" t="str">
        <f>IF(G18&lt;0,"Depth of impoundment storage area in error.  Please check elevations.","")</f>
        <v/>
      </c>
    </row>
    <row r="20" spans="4:13" x14ac:dyDescent="0.25">
      <c r="D20" s="21" t="s">
        <v>260</v>
      </c>
    </row>
    <row r="21" spans="4:13" ht="15.75" thickBot="1" x14ac:dyDescent="0.3">
      <c r="I21" s="228"/>
      <c r="J21" s="228"/>
    </row>
    <row r="22" spans="4:13" x14ac:dyDescent="0.25">
      <c r="D22" s="226" t="s">
        <v>217</v>
      </c>
      <c r="E22" s="227"/>
      <c r="F22" s="215" t="s">
        <v>218</v>
      </c>
      <c r="G22" s="227"/>
      <c r="H22" s="215" t="s">
        <v>219</v>
      </c>
      <c r="I22" s="227"/>
      <c r="J22" s="215" t="s">
        <v>9</v>
      </c>
      <c r="K22" s="216"/>
      <c r="L22" s="53"/>
    </row>
    <row r="23" spans="4:13" ht="14.45" customHeight="1" x14ac:dyDescent="0.25">
      <c r="D23" s="96">
        <f>J13</f>
        <v>1205</v>
      </c>
      <c r="E23" s="97"/>
      <c r="F23" s="213">
        <v>600</v>
      </c>
      <c r="G23" s="214"/>
      <c r="H23" s="217"/>
      <c r="I23" s="218"/>
      <c r="J23" s="217"/>
      <c r="K23" s="218"/>
      <c r="L23" s="53"/>
    </row>
    <row r="24" spans="4:13" x14ac:dyDescent="0.25">
      <c r="D24" s="96">
        <f>IF(J$18="FALSE",IF(D23+1=J$16,J$16,IF(D23=J$16,0,IF(D23+2=2,0,D23+2))),IF(D23+2=2,0,IF(D23=J$16,0,IF(D23+2=J$16,J$16,IF(D23+2=0,0,D23+2)))))</f>
        <v>1207</v>
      </c>
      <c r="E24" s="97"/>
      <c r="F24" s="213">
        <v>700</v>
      </c>
      <c r="G24" s="214"/>
      <c r="H24" s="199">
        <f>IF(D24=0,0,((D24-D23)*((F24+F23)/2))/43560)</f>
        <v>2.9843893480257115E-2</v>
      </c>
      <c r="I24" s="200"/>
      <c r="J24" s="201">
        <f>H24*43560</f>
        <v>1300</v>
      </c>
      <c r="K24" s="202"/>
      <c r="L24" s="53"/>
    </row>
    <row r="25" spans="4:13" x14ac:dyDescent="0.25">
      <c r="D25" s="96">
        <f t="shared" ref="D25:D33" si="0">IF(J$18="FALSE",IF(D24+1=J$16,J$16,IF(D24=J$16,0,IF(D24+2=2,0,D24+2))),IF(D24+2=2,0,IF(D24=J$16,0,IF(D24+2=J$16,J$16,IF(D24+2=0,0,D24+2)))))</f>
        <v>1209</v>
      </c>
      <c r="E25" s="97"/>
      <c r="F25" s="213">
        <v>800</v>
      </c>
      <c r="G25" s="214"/>
      <c r="H25" s="199">
        <f t="shared" ref="H25:H33" si="1">IF(D25=0,0,((D25-D24)*((F25+F24)/2))/43560)</f>
        <v>3.4435261707988982E-2</v>
      </c>
      <c r="I25" s="200"/>
      <c r="J25" s="201">
        <f t="shared" ref="J25:J33" si="2">H25*43560</f>
        <v>1500</v>
      </c>
      <c r="K25" s="202"/>
      <c r="L25" s="53"/>
      <c r="M25" s="85"/>
    </row>
    <row r="26" spans="4:13" x14ac:dyDescent="0.25">
      <c r="D26" s="96">
        <f t="shared" si="0"/>
        <v>1211</v>
      </c>
      <c r="E26" s="97"/>
      <c r="F26" s="213">
        <v>900</v>
      </c>
      <c r="G26" s="214"/>
      <c r="H26" s="199">
        <f>IF(D26=0,0,((D26-D25)*((F26+F25)/2))/43560)</f>
        <v>3.9026629935720848E-2</v>
      </c>
      <c r="I26" s="200"/>
      <c r="J26" s="201">
        <f t="shared" si="2"/>
        <v>1700.0000000000002</v>
      </c>
      <c r="K26" s="202"/>
      <c r="L26" s="53"/>
      <c r="M26" s="85"/>
    </row>
    <row r="27" spans="4:13" x14ac:dyDescent="0.25">
      <c r="D27" s="96">
        <f t="shared" si="0"/>
        <v>1213</v>
      </c>
      <c r="E27" s="97"/>
      <c r="F27" s="213">
        <v>490</v>
      </c>
      <c r="G27" s="214"/>
      <c r="H27" s="199">
        <f t="shared" si="1"/>
        <v>3.1910009182736454E-2</v>
      </c>
      <c r="I27" s="200"/>
      <c r="J27" s="201">
        <f t="shared" si="2"/>
        <v>1390</v>
      </c>
      <c r="K27" s="202"/>
      <c r="L27" s="53"/>
      <c r="M27" s="85"/>
    </row>
    <row r="28" spans="4:13" x14ac:dyDescent="0.25">
      <c r="D28" s="96">
        <f t="shared" si="0"/>
        <v>1215</v>
      </c>
      <c r="E28" s="97"/>
      <c r="F28" s="213"/>
      <c r="G28" s="214"/>
      <c r="H28" s="199">
        <f t="shared" si="1"/>
        <v>1.1248852157943067E-2</v>
      </c>
      <c r="I28" s="200"/>
      <c r="J28" s="201">
        <f t="shared" si="2"/>
        <v>490</v>
      </c>
      <c r="K28" s="202"/>
      <c r="L28" s="53"/>
    </row>
    <row r="29" spans="4:13" x14ac:dyDescent="0.25">
      <c r="D29" s="96">
        <f t="shared" si="0"/>
        <v>1217</v>
      </c>
      <c r="E29" s="97"/>
      <c r="F29" s="213"/>
      <c r="G29" s="214"/>
      <c r="H29" s="199">
        <f t="shared" si="1"/>
        <v>0</v>
      </c>
      <c r="I29" s="200"/>
      <c r="J29" s="201">
        <f t="shared" si="2"/>
        <v>0</v>
      </c>
      <c r="K29" s="202"/>
      <c r="L29" s="53"/>
    </row>
    <row r="30" spans="4:13" x14ac:dyDescent="0.25">
      <c r="D30" s="96">
        <f t="shared" si="0"/>
        <v>1219</v>
      </c>
      <c r="E30" s="97"/>
      <c r="F30" s="213"/>
      <c r="G30" s="214"/>
      <c r="H30" s="199">
        <f t="shared" si="1"/>
        <v>0</v>
      </c>
      <c r="I30" s="200"/>
      <c r="J30" s="201">
        <f t="shared" si="2"/>
        <v>0</v>
      </c>
      <c r="K30" s="202"/>
    </row>
    <row r="31" spans="4:13" x14ac:dyDescent="0.25">
      <c r="D31" s="96">
        <f t="shared" si="0"/>
        <v>1221</v>
      </c>
      <c r="E31" s="97"/>
      <c r="F31" s="213"/>
      <c r="G31" s="214"/>
      <c r="H31" s="199">
        <f t="shared" si="1"/>
        <v>0</v>
      </c>
      <c r="I31" s="200"/>
      <c r="J31" s="201">
        <f t="shared" si="2"/>
        <v>0</v>
      </c>
      <c r="K31" s="202"/>
    </row>
    <row r="32" spans="4:13" x14ac:dyDescent="0.25">
      <c r="D32" s="96">
        <f t="shared" si="0"/>
        <v>1223</v>
      </c>
      <c r="E32" s="97"/>
      <c r="F32" s="213"/>
      <c r="G32" s="214"/>
      <c r="H32" s="199">
        <f t="shared" si="1"/>
        <v>0</v>
      </c>
      <c r="I32" s="200"/>
      <c r="J32" s="201">
        <f t="shared" si="2"/>
        <v>0</v>
      </c>
      <c r="K32" s="202"/>
    </row>
    <row r="33" spans="4:15" ht="15.75" thickBot="1" x14ac:dyDescent="0.3">
      <c r="D33" s="96">
        <f t="shared" si="0"/>
        <v>1225</v>
      </c>
      <c r="E33" s="97"/>
      <c r="F33" s="219"/>
      <c r="G33" s="220"/>
      <c r="H33" s="203">
        <f t="shared" si="1"/>
        <v>0</v>
      </c>
      <c r="I33" s="204"/>
      <c r="J33" s="209">
        <f t="shared" si="2"/>
        <v>0</v>
      </c>
      <c r="K33" s="210"/>
    </row>
    <row r="34" spans="4:15" ht="15.75" thickBot="1" x14ac:dyDescent="0.3"/>
    <row r="35" spans="4:15" ht="15.75" thickBot="1" x14ac:dyDescent="0.3">
      <c r="H35" s="211">
        <f>SUM(H23:I33)</f>
        <v>0.14646464646464646</v>
      </c>
      <c r="I35" s="212"/>
      <c r="J35" s="207">
        <f>SUM(J24:K34)</f>
        <v>6380</v>
      </c>
      <c r="K35" s="208"/>
    </row>
    <row r="36" spans="4:15" ht="15.75" thickBot="1" x14ac:dyDescent="0.3">
      <c r="N36" s="221"/>
      <c r="O36" s="222"/>
    </row>
    <row r="37" spans="4:15" ht="15.75" thickBot="1" x14ac:dyDescent="0.3">
      <c r="D37" s="21" t="s">
        <v>237</v>
      </c>
      <c r="J37" s="159" t="s">
        <v>220</v>
      </c>
      <c r="K37" s="161"/>
    </row>
    <row r="39" spans="4:15" x14ac:dyDescent="0.25">
      <c r="I39" s="12" t="str">
        <f>IF(J39=50%,"Required Margin of Safety = ","Construction/Survey based volume estimate used, margin of safety =")</f>
        <v>Construction/Survey based volume estimate used, margin of safety =</v>
      </c>
      <c r="J39" s="84">
        <f>IF(J37="Estimated",50%,0.1)</f>
        <v>0.1</v>
      </c>
    </row>
    <row r="41" spans="4:15" ht="19.5" thickBot="1" x14ac:dyDescent="0.35">
      <c r="D41" s="23" t="s">
        <v>238</v>
      </c>
    </row>
    <row r="42" spans="4:15" ht="15.75" thickBot="1" x14ac:dyDescent="0.3">
      <c r="E42" s="21" t="s">
        <v>223</v>
      </c>
      <c r="H42" s="205">
        <f>(1-J39)*H35</f>
        <v>0.13181818181818183</v>
      </c>
      <c r="I42" s="206"/>
      <c r="J42" s="21" t="s">
        <v>47</v>
      </c>
    </row>
    <row r="43" spans="4:15" ht="15.75" thickBot="1" x14ac:dyDescent="0.3">
      <c r="E43" s="21" t="s">
        <v>223</v>
      </c>
      <c r="H43" s="207">
        <f>(1-J39)*J35</f>
        <v>5742</v>
      </c>
      <c r="I43" s="208"/>
      <c r="J43" s="21" t="s">
        <v>46</v>
      </c>
    </row>
  </sheetData>
  <sheetProtection password="C120" sheet="1" selectLockedCells="1"/>
  <mergeCells count="45">
    <mergeCell ref="N36:O36"/>
    <mergeCell ref="E3:I3"/>
    <mergeCell ref="D22:E22"/>
    <mergeCell ref="F22:G22"/>
    <mergeCell ref="I21:J21"/>
    <mergeCell ref="F31:G31"/>
    <mergeCell ref="F32:G32"/>
    <mergeCell ref="H22:I22"/>
    <mergeCell ref="H23:I23"/>
    <mergeCell ref="F29:G29"/>
    <mergeCell ref="J22:K22"/>
    <mergeCell ref="J23:K23"/>
    <mergeCell ref="F33:G33"/>
    <mergeCell ref="F23:G23"/>
    <mergeCell ref="F25:G25"/>
    <mergeCell ref="F24:G24"/>
    <mergeCell ref="F26:G26"/>
    <mergeCell ref="F27:G27"/>
    <mergeCell ref="F28:G28"/>
    <mergeCell ref="H26:I26"/>
    <mergeCell ref="H27:I27"/>
    <mergeCell ref="H28:I28"/>
    <mergeCell ref="J25:K25"/>
    <mergeCell ref="H25:I25"/>
    <mergeCell ref="F30:G30"/>
    <mergeCell ref="J37:K37"/>
    <mergeCell ref="H42:I42"/>
    <mergeCell ref="H43:I43"/>
    <mergeCell ref="J29:K29"/>
    <mergeCell ref="J30:K30"/>
    <mergeCell ref="J31:K31"/>
    <mergeCell ref="J32:K32"/>
    <mergeCell ref="J33:K33"/>
    <mergeCell ref="J35:K35"/>
    <mergeCell ref="H35:I35"/>
    <mergeCell ref="H24:I24"/>
    <mergeCell ref="J24:K24"/>
    <mergeCell ref="J27:K27"/>
    <mergeCell ref="H33:I33"/>
    <mergeCell ref="H32:I32"/>
    <mergeCell ref="H29:I29"/>
    <mergeCell ref="H30:I30"/>
    <mergeCell ref="H31:I31"/>
    <mergeCell ref="J26:K26"/>
    <mergeCell ref="J28:K28"/>
  </mergeCells>
  <conditionalFormatting sqref="J39">
    <cfRule type="cellIs" dxfId="0" priority="1" operator="equal">
      <formula>0.5</formula>
    </cfRule>
  </conditionalFormatting>
  <dataValidations count="3">
    <dataValidation type="list" allowBlank="1" showInputMessage="1" showErrorMessage="1" sqref="J37">
      <formula1>$W$13:$W$15</formula1>
    </dataValidation>
    <dataValidation type="list" allowBlank="1" showInputMessage="1" showErrorMessage="1" sqref="D3:D4">
      <formula1>BMP</formula1>
    </dataValidation>
    <dataValidation type="list" allowBlank="1" showInputMessage="1" showErrorMessage="1" sqref="E3:E4">
      <formula1>Mgmt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RowColHeaders="0" workbookViewId="0">
      <selection activeCell="E8" sqref="E8"/>
    </sheetView>
  </sheetViews>
  <sheetFormatPr defaultColWidth="8.85546875" defaultRowHeight="15" x14ac:dyDescent="0.25"/>
  <cols>
    <col min="1" max="1" width="8.85546875" style="22"/>
    <col min="2" max="2" width="4.7109375" style="22" customWidth="1"/>
    <col min="3" max="3" width="16.42578125" style="22" customWidth="1"/>
    <col min="4" max="4" width="24.7109375" style="22" customWidth="1"/>
    <col min="5" max="5" width="47.42578125" style="22" customWidth="1"/>
    <col min="6" max="6" width="8.7109375" style="22" customWidth="1"/>
    <col min="7" max="7" width="3.42578125" style="22" hidden="1" customWidth="1"/>
    <col min="8" max="16384" width="8.85546875" style="22"/>
  </cols>
  <sheetData>
    <row r="1" spans="1:12" x14ac:dyDescent="0.25">
      <c r="A1" s="239" t="s">
        <v>302</v>
      </c>
      <c r="B1" s="240"/>
      <c r="C1" s="240"/>
      <c r="D1" s="240"/>
      <c r="E1" s="241"/>
    </row>
    <row r="2" spans="1:12" ht="19.5" customHeight="1" x14ac:dyDescent="0.25">
      <c r="A2" s="242"/>
      <c r="B2" s="243"/>
      <c r="C2" s="243"/>
      <c r="D2" s="243"/>
      <c r="E2" s="244"/>
    </row>
    <row r="3" spans="1:12" ht="10.5" customHeight="1" x14ac:dyDescent="0.25">
      <c r="A3" s="236" t="s">
        <v>240</v>
      </c>
      <c r="B3" s="236"/>
      <c r="C3" s="236"/>
      <c r="D3" s="236"/>
      <c r="E3" s="131"/>
    </row>
    <row r="4" spans="1:12" ht="12.75" customHeight="1" x14ac:dyDescent="0.25">
      <c r="A4" s="236"/>
      <c r="B4" s="236"/>
      <c r="C4" s="236"/>
      <c r="D4" s="236"/>
      <c r="E4" s="131"/>
    </row>
    <row r="5" spans="1:12" ht="15.6" customHeight="1" x14ac:dyDescent="0.25">
      <c r="A5" s="238"/>
      <c r="B5" s="238"/>
      <c r="C5" s="238"/>
      <c r="D5" s="238"/>
      <c r="E5" s="132"/>
    </row>
    <row r="6" spans="1:12" ht="15.75" customHeight="1" x14ac:dyDescent="0.25">
      <c r="A6" s="232" t="s">
        <v>251</v>
      </c>
      <c r="B6" s="232"/>
      <c r="C6" s="232"/>
      <c r="D6" s="232"/>
      <c r="E6" s="133" t="str">
        <f>'Watershed Storage Goal'!G29</f>
        <v>Watonwan River</v>
      </c>
    </row>
    <row r="7" spans="1:12" ht="15.75" customHeight="1" x14ac:dyDescent="0.25">
      <c r="A7" s="245" t="s">
        <v>252</v>
      </c>
      <c r="B7" s="246"/>
      <c r="C7" s="246"/>
      <c r="D7" s="247"/>
      <c r="E7" s="133">
        <f>'Watershed Storage Goal'!G30</f>
        <v>5319500</v>
      </c>
    </row>
    <row r="8" spans="1:12" ht="18.75" customHeight="1" x14ac:dyDescent="0.25">
      <c r="A8" s="257" t="s">
        <v>253</v>
      </c>
      <c r="B8" s="257"/>
      <c r="C8" s="257"/>
      <c r="D8" s="257"/>
      <c r="E8" s="142" t="s">
        <v>405</v>
      </c>
      <c r="H8" s="256"/>
      <c r="I8" s="256"/>
      <c r="J8" s="256"/>
      <c r="K8" s="256"/>
      <c r="L8" s="256"/>
    </row>
    <row r="9" spans="1:12" ht="18.75" customHeight="1" x14ac:dyDescent="0.25">
      <c r="A9" s="258" t="s">
        <v>254</v>
      </c>
      <c r="B9" s="258"/>
      <c r="C9" s="258"/>
      <c r="D9" s="254"/>
      <c r="E9" s="255"/>
      <c r="H9" s="256"/>
      <c r="I9" s="256"/>
      <c r="J9" s="256"/>
      <c r="K9" s="256"/>
      <c r="L9" s="256"/>
    </row>
    <row r="10" spans="1:12" ht="18.75" customHeight="1" x14ac:dyDescent="0.25">
      <c r="A10" s="250"/>
      <c r="B10" s="252"/>
      <c r="C10" s="251"/>
      <c r="D10" s="250"/>
      <c r="E10" s="251"/>
      <c r="H10" s="256"/>
      <c r="I10" s="256"/>
      <c r="J10" s="256"/>
      <c r="K10" s="256"/>
      <c r="L10" s="256"/>
    </row>
    <row r="11" spans="1:12" ht="18.75" customHeight="1" x14ac:dyDescent="0.25">
      <c r="A11" s="248"/>
      <c r="B11" s="253"/>
      <c r="C11" s="249"/>
      <c r="D11" s="248"/>
      <c r="E11" s="249"/>
    </row>
    <row r="12" spans="1:12" ht="18.75" customHeight="1" x14ac:dyDescent="0.25">
      <c r="A12" s="232" t="s">
        <v>241</v>
      </c>
      <c r="B12" s="232"/>
      <c r="C12" s="232"/>
      <c r="D12" s="232"/>
      <c r="E12" s="133" t="str">
        <f>'Surface Impoundment Inputs'!E3</f>
        <v>Urban Storm Water Impoundment (Retention Basin)</v>
      </c>
    </row>
    <row r="13" spans="1:12" ht="18.75" customHeight="1" x14ac:dyDescent="0.25">
      <c r="A13" s="232" t="s">
        <v>255</v>
      </c>
      <c r="B13" s="232"/>
      <c r="C13" s="232"/>
      <c r="D13" s="232"/>
      <c r="E13" s="134">
        <f>'Watershed Storage Goal'!D32</f>
        <v>0.25</v>
      </c>
    </row>
    <row r="14" spans="1:12" ht="18.75" customHeight="1" x14ac:dyDescent="0.25">
      <c r="A14" s="232" t="s">
        <v>274</v>
      </c>
      <c r="B14" s="232"/>
      <c r="C14" s="232"/>
      <c r="D14" s="232"/>
      <c r="E14" s="133">
        <f>'Watershed Storage Goal'!G32</f>
        <v>2</v>
      </c>
    </row>
    <row r="15" spans="1:12" s="136" customFormat="1" ht="15" customHeight="1" x14ac:dyDescent="0.25">
      <c r="A15" s="233" t="s">
        <v>242</v>
      </c>
      <c r="B15" s="234"/>
      <c r="C15" s="234"/>
      <c r="D15" s="234"/>
      <c r="E15" s="135"/>
    </row>
    <row r="16" spans="1:12" ht="10.5" customHeight="1" x14ac:dyDescent="0.25">
      <c r="A16" s="235"/>
      <c r="B16" s="236"/>
      <c r="C16" s="236"/>
      <c r="D16" s="236"/>
      <c r="E16" s="131"/>
    </row>
    <row r="17" spans="1:9" ht="15.6" customHeight="1" x14ac:dyDescent="0.25">
      <c r="A17" s="237"/>
      <c r="B17" s="238"/>
      <c r="C17" s="238"/>
      <c r="D17" s="238"/>
      <c r="E17" s="132"/>
    </row>
    <row r="18" spans="1:9" x14ac:dyDescent="0.25">
      <c r="A18" s="232" t="s">
        <v>268</v>
      </c>
      <c r="B18" s="232"/>
      <c r="C18" s="232"/>
      <c r="D18" s="232"/>
      <c r="E18" s="133">
        <f>'Selecting Precipitation Amount'!G15</f>
        <v>2</v>
      </c>
    </row>
    <row r="19" spans="1:9" x14ac:dyDescent="0.25">
      <c r="A19" s="232" t="s">
        <v>243</v>
      </c>
      <c r="B19" s="232"/>
      <c r="C19" s="232"/>
      <c r="D19" s="232"/>
      <c r="E19" s="133">
        <f>'Selecting Precipitation Amount'!D20</f>
        <v>2.92</v>
      </c>
      <c r="F19" s="137"/>
      <c r="G19" s="137"/>
      <c r="H19" s="137"/>
      <c r="I19" s="137"/>
    </row>
    <row r="20" spans="1:9" x14ac:dyDescent="0.25">
      <c r="A20" s="232" t="s">
        <v>244</v>
      </c>
      <c r="B20" s="232"/>
      <c r="C20" s="232"/>
      <c r="D20" s="232"/>
      <c r="E20" s="133">
        <f>'TR-55 Runoff Estimation'!E144</f>
        <v>125</v>
      </c>
    </row>
    <row r="21" spans="1:9" x14ac:dyDescent="0.25">
      <c r="A21" s="232" t="s">
        <v>245</v>
      </c>
      <c r="B21" s="232"/>
      <c r="C21" s="232"/>
      <c r="D21" s="232"/>
      <c r="E21" s="133">
        <f>'Surface Impoundment Inputs'!J13</f>
        <v>1205</v>
      </c>
    </row>
    <row r="22" spans="1:9" x14ac:dyDescent="0.25">
      <c r="A22" s="232" t="s">
        <v>246</v>
      </c>
      <c r="B22" s="232"/>
      <c r="C22" s="232"/>
      <c r="D22" s="232"/>
      <c r="E22" s="133">
        <f>'Surface Impoundment Inputs'!J16</f>
        <v>1206</v>
      </c>
    </row>
    <row r="23" spans="1:9" x14ac:dyDescent="0.25">
      <c r="A23" s="233" t="s">
        <v>247</v>
      </c>
      <c r="B23" s="234"/>
      <c r="C23" s="234"/>
      <c r="D23" s="234"/>
      <c r="E23" s="135"/>
    </row>
    <row r="24" spans="1:9" ht="10.5" customHeight="1" x14ac:dyDescent="0.25">
      <c r="A24" s="235"/>
      <c r="B24" s="236"/>
      <c r="C24" s="236"/>
      <c r="D24" s="236"/>
      <c r="E24" s="131"/>
    </row>
    <row r="25" spans="1:9" ht="15.6" customHeight="1" x14ac:dyDescent="0.25">
      <c r="A25" s="237"/>
      <c r="B25" s="238"/>
      <c r="C25" s="238"/>
      <c r="D25" s="238"/>
      <c r="E25" s="132"/>
    </row>
    <row r="26" spans="1:9" x14ac:dyDescent="0.25">
      <c r="A26" s="229" t="s">
        <v>297</v>
      </c>
      <c r="B26" s="230"/>
      <c r="C26" s="230"/>
      <c r="D26" s="231"/>
      <c r="E26" s="138">
        <f>'Surface Impoundment Inputs'!H35</f>
        <v>0.14646464646464646</v>
      </c>
      <c r="F26" s="139"/>
    </row>
    <row r="27" spans="1:9" x14ac:dyDescent="0.25">
      <c r="A27" s="245" t="s">
        <v>298</v>
      </c>
      <c r="B27" s="246"/>
      <c r="C27" s="246"/>
      <c r="D27" s="247"/>
      <c r="E27" s="133">
        <f>'Selecting Precipitation Amount'!D20</f>
        <v>2.92</v>
      </c>
      <c r="F27" s="63"/>
      <c r="G27" s="63"/>
    </row>
    <row r="28" spans="1:9" x14ac:dyDescent="0.25">
      <c r="A28" s="245" t="s">
        <v>299</v>
      </c>
      <c r="B28" s="246"/>
      <c r="C28" s="246"/>
      <c r="D28" s="247"/>
      <c r="E28" s="133">
        <f>'Selecting Precipitation Amount'!G15</f>
        <v>2</v>
      </c>
      <c r="F28" s="130"/>
      <c r="G28" s="130"/>
      <c r="H28" s="130"/>
    </row>
    <row r="29" spans="1:9" x14ac:dyDescent="0.25">
      <c r="A29" s="229" t="s">
        <v>300</v>
      </c>
      <c r="B29" s="230"/>
      <c r="C29" s="230"/>
      <c r="D29" s="231"/>
      <c r="E29" s="140">
        <f>'TR-55 Runoff Estimation'!H156</f>
        <v>19.55261752136752</v>
      </c>
    </row>
    <row r="30" spans="1:9" x14ac:dyDescent="0.25">
      <c r="A30" s="229" t="s">
        <v>301</v>
      </c>
      <c r="B30" s="230"/>
      <c r="C30" s="230"/>
      <c r="D30" s="231"/>
      <c r="E30" s="140">
        <f>MIN(E29,E26)</f>
        <v>0.14646464646464646</v>
      </c>
    </row>
    <row r="33" spans="3:10" x14ac:dyDescent="0.25">
      <c r="C33" s="54"/>
      <c r="D33" s="54"/>
      <c r="E33" s="54"/>
      <c r="F33" s="54"/>
      <c r="G33" s="54"/>
      <c r="H33" s="54"/>
      <c r="I33" s="54"/>
      <c r="J33" s="54"/>
    </row>
    <row r="34" spans="3:10" x14ac:dyDescent="0.25">
      <c r="C34" s="171"/>
      <c r="D34" s="171"/>
      <c r="E34" s="171"/>
      <c r="F34" s="171"/>
      <c r="G34" s="171"/>
      <c r="H34" s="141"/>
      <c r="I34" s="141"/>
      <c r="J34" s="54"/>
    </row>
    <row r="35" spans="3:10" x14ac:dyDescent="0.25">
      <c r="C35" s="54"/>
      <c r="D35" s="54"/>
      <c r="E35" s="54"/>
      <c r="F35" s="54"/>
      <c r="G35" s="54"/>
      <c r="H35" s="54"/>
      <c r="I35" s="54"/>
      <c r="J35" s="54"/>
    </row>
    <row r="36" spans="3:10" x14ac:dyDescent="0.25">
      <c r="C36" s="171"/>
      <c r="D36" s="171"/>
      <c r="E36" s="54"/>
      <c r="F36" s="171"/>
      <c r="G36" s="171"/>
      <c r="H36" s="171"/>
      <c r="I36" s="54"/>
      <c r="J36" s="54"/>
    </row>
    <row r="37" spans="3:10" x14ac:dyDescent="0.25">
      <c r="C37" s="54"/>
      <c r="D37" s="54"/>
      <c r="E37" s="54"/>
      <c r="F37" s="54"/>
      <c r="G37" s="54"/>
      <c r="H37" s="54"/>
      <c r="I37" s="54"/>
      <c r="J37" s="54"/>
    </row>
    <row r="38" spans="3:10" x14ac:dyDescent="0.25">
      <c r="C38" s="54"/>
      <c r="D38" s="54"/>
      <c r="E38" s="171"/>
      <c r="F38" s="171"/>
      <c r="G38" s="171"/>
      <c r="H38" s="171"/>
      <c r="I38" s="54"/>
      <c r="J38" s="54"/>
    </row>
    <row r="39" spans="3:10" x14ac:dyDescent="0.25">
      <c r="C39" s="54"/>
      <c r="D39" s="54"/>
      <c r="E39" s="54"/>
      <c r="F39" s="54"/>
      <c r="G39" s="54"/>
      <c r="H39" s="54"/>
      <c r="I39" s="54"/>
      <c r="J39" s="54"/>
    </row>
    <row r="40" spans="3:10" x14ac:dyDescent="0.25">
      <c r="C40" s="171"/>
      <c r="D40" s="171"/>
      <c r="E40" s="171"/>
      <c r="F40" s="171"/>
      <c r="G40" s="171"/>
      <c r="H40" s="171"/>
      <c r="I40" s="54"/>
      <c r="J40" s="54"/>
    </row>
    <row r="41" spans="3:10" x14ac:dyDescent="0.25">
      <c r="C41" s="54"/>
      <c r="D41" s="54"/>
      <c r="E41" s="54"/>
      <c r="F41" s="54"/>
      <c r="G41" s="54"/>
      <c r="H41" s="54"/>
      <c r="I41" s="54"/>
      <c r="J41" s="54"/>
    </row>
  </sheetData>
  <sheetProtection password="C120" sheet="1" selectLockedCells="1"/>
  <mergeCells count="31">
    <mergeCell ref="D9:E9"/>
    <mergeCell ref="H8:L10"/>
    <mergeCell ref="A26:D26"/>
    <mergeCell ref="A14:D14"/>
    <mergeCell ref="A8:D8"/>
    <mergeCell ref="A12:D12"/>
    <mergeCell ref="A9:C9"/>
    <mergeCell ref="A20:D20"/>
    <mergeCell ref="D10:E10"/>
    <mergeCell ref="A27:D27"/>
    <mergeCell ref="A28:D28"/>
    <mergeCell ref="A29:D29"/>
    <mergeCell ref="A10:C11"/>
    <mergeCell ref="A22:D22"/>
    <mergeCell ref="A15:D17"/>
    <mergeCell ref="C40:H40"/>
    <mergeCell ref="C34:G34"/>
    <mergeCell ref="C36:D36"/>
    <mergeCell ref="F36:H36"/>
    <mergeCell ref="E38:H38"/>
    <mergeCell ref="A21:D21"/>
    <mergeCell ref="A30:D30"/>
    <mergeCell ref="A18:D18"/>
    <mergeCell ref="A19:D19"/>
    <mergeCell ref="A23:D25"/>
    <mergeCell ref="A1:E2"/>
    <mergeCell ref="A7:D7"/>
    <mergeCell ref="A13:D13"/>
    <mergeCell ref="A6:D6"/>
    <mergeCell ref="A3:D5"/>
    <mergeCell ref="D11:E11"/>
  </mergeCells>
  <pageMargins left="0.7" right="0.7" top="0.75" bottom="0.75" header="0.3" footer="0.3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84"/>
  <sheetViews>
    <sheetView showRowColHeaders="0" zoomScale="120" zoomScaleNormal="120" workbookViewId="0">
      <selection sqref="A1:IV65536"/>
    </sheetView>
  </sheetViews>
  <sheetFormatPr defaultColWidth="8.85546875" defaultRowHeight="15" x14ac:dyDescent="0.25"/>
  <cols>
    <col min="1" max="1" width="3.42578125" style="21" customWidth="1"/>
    <col min="2" max="2" width="2.5703125" style="21" customWidth="1"/>
    <col min="3" max="10" width="8.85546875" style="21"/>
    <col min="11" max="11" width="11.42578125" style="21" customWidth="1"/>
    <col min="12" max="12" width="10.28515625" style="21" customWidth="1"/>
    <col min="13" max="13" width="10.7109375" style="21" customWidth="1"/>
    <col min="14" max="21" width="12.140625" style="21" customWidth="1"/>
    <col min="22" max="16384" width="8.85546875" style="21"/>
  </cols>
  <sheetData>
    <row r="2" spans="2:3" ht="18.75" x14ac:dyDescent="0.3">
      <c r="B2" s="23" t="s">
        <v>169</v>
      </c>
    </row>
    <row r="4" spans="2:3" ht="18.75" x14ac:dyDescent="0.3">
      <c r="B4" s="23" t="s">
        <v>72</v>
      </c>
    </row>
    <row r="5" spans="2:3" x14ac:dyDescent="0.25">
      <c r="B5" s="21" t="s">
        <v>304</v>
      </c>
    </row>
    <row r="6" spans="2:3" x14ac:dyDescent="0.25">
      <c r="B6" s="21" t="s">
        <v>305</v>
      </c>
    </row>
    <row r="7" spans="2:3" x14ac:dyDescent="0.25">
      <c r="B7" s="21" t="s">
        <v>306</v>
      </c>
    </row>
    <row r="8" spans="2:3" x14ac:dyDescent="0.25">
      <c r="B8" s="21" t="s">
        <v>387</v>
      </c>
    </row>
    <row r="10" spans="2:3" x14ac:dyDescent="0.25">
      <c r="B10" s="21" t="s">
        <v>308</v>
      </c>
    </row>
    <row r="11" spans="2:3" x14ac:dyDescent="0.25">
      <c r="C11" s="21" t="s">
        <v>309</v>
      </c>
    </row>
    <row r="12" spans="2:3" x14ac:dyDescent="0.25">
      <c r="C12" s="21" t="s">
        <v>394</v>
      </c>
    </row>
    <row r="13" spans="2:3" x14ac:dyDescent="0.25">
      <c r="B13" s="21" t="s">
        <v>307</v>
      </c>
    </row>
    <row r="14" spans="2:3" x14ac:dyDescent="0.25">
      <c r="C14" s="21" t="s">
        <v>311</v>
      </c>
    </row>
    <row r="15" spans="2:3" x14ac:dyDescent="0.25">
      <c r="C15" s="21" t="s">
        <v>388</v>
      </c>
    </row>
    <row r="16" spans="2:3" x14ac:dyDescent="0.25">
      <c r="C16" s="21" t="s">
        <v>389</v>
      </c>
    </row>
    <row r="17" spans="2:3" x14ac:dyDescent="0.25">
      <c r="C17" s="21" t="s">
        <v>310</v>
      </c>
    </row>
    <row r="18" spans="2:3" x14ac:dyDescent="0.25">
      <c r="B18" s="21" t="s">
        <v>312</v>
      </c>
    </row>
    <row r="19" spans="2:3" x14ac:dyDescent="0.25">
      <c r="C19" s="21" t="s">
        <v>390</v>
      </c>
    </row>
    <row r="20" spans="2:3" x14ac:dyDescent="0.25">
      <c r="C20" s="21" t="s">
        <v>314</v>
      </c>
    </row>
    <row r="21" spans="2:3" x14ac:dyDescent="0.25">
      <c r="C21" s="21" t="s">
        <v>321</v>
      </c>
    </row>
    <row r="22" spans="2:3" x14ac:dyDescent="0.25">
      <c r="C22" s="21" t="s">
        <v>313</v>
      </c>
    </row>
    <row r="23" spans="2:3" x14ac:dyDescent="0.25">
      <c r="C23" s="21" t="s">
        <v>395</v>
      </c>
    </row>
    <row r="24" spans="2:3" x14ac:dyDescent="0.25">
      <c r="C24" s="21" t="s">
        <v>396</v>
      </c>
    </row>
    <row r="49" spans="2:3" x14ac:dyDescent="0.25">
      <c r="B49" s="21" t="s">
        <v>315</v>
      </c>
    </row>
    <row r="50" spans="2:3" x14ac:dyDescent="0.25">
      <c r="B50" s="21" t="s">
        <v>397</v>
      </c>
    </row>
    <row r="51" spans="2:3" x14ac:dyDescent="0.25">
      <c r="B51" s="21" t="s">
        <v>391</v>
      </c>
    </row>
    <row r="52" spans="2:3" x14ac:dyDescent="0.25">
      <c r="B52" s="21" t="s">
        <v>317</v>
      </c>
    </row>
    <row r="53" spans="2:3" x14ac:dyDescent="0.25">
      <c r="B53" s="21" t="s">
        <v>316</v>
      </c>
    </row>
    <row r="54" spans="2:3" x14ac:dyDescent="0.25">
      <c r="C54" s="21" t="s">
        <v>320</v>
      </c>
    </row>
    <row r="55" spans="2:3" x14ac:dyDescent="0.25">
      <c r="B55" s="21" t="s">
        <v>318</v>
      </c>
    </row>
    <row r="56" spans="2:3" x14ac:dyDescent="0.25">
      <c r="C56" s="21" t="s">
        <v>319</v>
      </c>
    </row>
    <row r="58" spans="2:3" ht="18.75" x14ac:dyDescent="0.3">
      <c r="B58" s="23" t="s">
        <v>327</v>
      </c>
    </row>
    <row r="59" spans="2:3" x14ac:dyDescent="0.25">
      <c r="B59" s="21" t="s">
        <v>322</v>
      </c>
    </row>
    <row r="60" spans="2:3" x14ac:dyDescent="0.25">
      <c r="B60" s="21" t="s">
        <v>323</v>
      </c>
    </row>
    <row r="61" spans="2:3" x14ac:dyDescent="0.25">
      <c r="B61" s="21" t="s">
        <v>324</v>
      </c>
    </row>
    <row r="62" spans="2:3" x14ac:dyDescent="0.25">
      <c r="B62" s="21" t="s">
        <v>325</v>
      </c>
    </row>
    <row r="63" spans="2:3" x14ac:dyDescent="0.25">
      <c r="B63" s="21" t="s">
        <v>398</v>
      </c>
    </row>
    <row r="64" spans="2:3" x14ac:dyDescent="0.25">
      <c r="B64" s="21" t="s">
        <v>399</v>
      </c>
    </row>
    <row r="65" spans="2:2" x14ac:dyDescent="0.25">
      <c r="B65" s="21" t="s">
        <v>326</v>
      </c>
    </row>
    <row r="67" spans="2:2" x14ac:dyDescent="0.25">
      <c r="B67" s="21" t="s">
        <v>328</v>
      </c>
    </row>
    <row r="68" spans="2:2" x14ac:dyDescent="0.25">
      <c r="B68" s="21" t="s">
        <v>329</v>
      </c>
    </row>
    <row r="70" spans="2:2" x14ac:dyDescent="0.25">
      <c r="B70" s="21" t="s">
        <v>331</v>
      </c>
    </row>
    <row r="71" spans="2:2" x14ac:dyDescent="0.25">
      <c r="B71" s="21" t="s">
        <v>330</v>
      </c>
    </row>
    <row r="73" spans="2:2" x14ac:dyDescent="0.25">
      <c r="B73" s="21" t="s">
        <v>401</v>
      </c>
    </row>
    <row r="74" spans="2:2" x14ac:dyDescent="0.25">
      <c r="B74" s="21" t="s">
        <v>335</v>
      </c>
    </row>
    <row r="76" spans="2:2" x14ac:dyDescent="0.25">
      <c r="B76" s="21" t="s">
        <v>332</v>
      </c>
    </row>
    <row r="77" spans="2:2" x14ac:dyDescent="0.25">
      <c r="B77" s="21" t="s">
        <v>333</v>
      </c>
    </row>
    <row r="79" spans="2:2" x14ac:dyDescent="0.25">
      <c r="B79" s="21" t="s">
        <v>402</v>
      </c>
    </row>
    <row r="80" spans="2:2" x14ac:dyDescent="0.25">
      <c r="B80" s="21" t="s">
        <v>334</v>
      </c>
    </row>
    <row r="82" spans="2:3" x14ac:dyDescent="0.25">
      <c r="B82" s="21" t="s">
        <v>336</v>
      </c>
    </row>
    <row r="84" spans="2:3" x14ac:dyDescent="0.25">
      <c r="C84" s="21" t="s">
        <v>337</v>
      </c>
    </row>
    <row r="85" spans="2:3" x14ac:dyDescent="0.25">
      <c r="C85" s="21" t="s">
        <v>338</v>
      </c>
    </row>
    <row r="86" spans="2:3" x14ac:dyDescent="0.25">
      <c r="C86" s="21" t="s">
        <v>392</v>
      </c>
    </row>
    <row r="87" spans="2:3" x14ac:dyDescent="0.25">
      <c r="C87" s="21" t="s">
        <v>340</v>
      </c>
    </row>
    <row r="88" spans="2:3" x14ac:dyDescent="0.25">
      <c r="C88" s="21" t="s">
        <v>339</v>
      </c>
    </row>
    <row r="89" spans="2:3" x14ac:dyDescent="0.25">
      <c r="C89" s="21" t="s">
        <v>393</v>
      </c>
    </row>
    <row r="90" spans="2:3" x14ac:dyDescent="0.25">
      <c r="C90" s="21" t="s">
        <v>341</v>
      </c>
    </row>
    <row r="91" spans="2:3" x14ac:dyDescent="0.25">
      <c r="C91" s="21" t="s">
        <v>342</v>
      </c>
    </row>
    <row r="92" spans="2:3" x14ac:dyDescent="0.25">
      <c r="C92" s="21" t="s">
        <v>343</v>
      </c>
    </row>
    <row r="94" spans="2:3" x14ac:dyDescent="0.25">
      <c r="B94" s="21" t="s">
        <v>377</v>
      </c>
    </row>
    <row r="95" spans="2:3" x14ac:dyDescent="0.25">
      <c r="B95" s="21" t="s">
        <v>378</v>
      </c>
    </row>
    <row r="101" spans="2:17" ht="15.75" thickBot="1" x14ac:dyDescent="0.3">
      <c r="B101" s="22" t="s">
        <v>344</v>
      </c>
    </row>
    <row r="102" spans="2:17" ht="15.75" thickBot="1" x14ac:dyDescent="0.3">
      <c r="C102" s="102" t="s">
        <v>372</v>
      </c>
      <c r="D102" s="103"/>
      <c r="E102" s="103"/>
      <c r="F102" s="103"/>
      <c r="G102" s="103"/>
      <c r="H102" s="103"/>
      <c r="I102" s="103" t="s">
        <v>346</v>
      </c>
      <c r="J102" s="103" t="s">
        <v>58</v>
      </c>
      <c r="K102" s="103"/>
      <c r="L102" s="103"/>
      <c r="M102" s="103"/>
      <c r="N102" s="103"/>
      <c r="O102" s="103"/>
      <c r="P102" s="103"/>
      <c r="Q102" s="104"/>
    </row>
    <row r="103" spans="2:17" ht="15.75" thickBot="1" x14ac:dyDescent="0.3">
      <c r="C103" s="102" t="s">
        <v>347</v>
      </c>
      <c r="D103" s="103" t="s">
        <v>348</v>
      </c>
      <c r="E103" s="103" t="s">
        <v>348</v>
      </c>
      <c r="F103" s="103" t="s">
        <v>348</v>
      </c>
      <c r="G103" s="103" t="s">
        <v>348</v>
      </c>
      <c r="H103" s="103" t="s">
        <v>348</v>
      </c>
      <c r="I103" s="103" t="s">
        <v>348</v>
      </c>
      <c r="J103" s="103" t="s">
        <v>348</v>
      </c>
      <c r="K103" s="103" t="s">
        <v>348</v>
      </c>
      <c r="L103" s="103" t="s">
        <v>348</v>
      </c>
      <c r="M103" s="103" t="s">
        <v>348</v>
      </c>
      <c r="N103" s="103" t="s">
        <v>348</v>
      </c>
      <c r="O103" s="103" t="s">
        <v>348</v>
      </c>
      <c r="P103" s="103" t="s">
        <v>348</v>
      </c>
      <c r="Q103" s="104" t="s">
        <v>348</v>
      </c>
    </row>
    <row r="104" spans="2:17" ht="104.25" thickBot="1" x14ac:dyDescent="0.3">
      <c r="C104" s="108" t="s">
        <v>349</v>
      </c>
      <c r="D104" s="109" t="s">
        <v>350</v>
      </c>
      <c r="E104" s="109" t="s">
        <v>350</v>
      </c>
      <c r="F104" s="109" t="s">
        <v>350</v>
      </c>
      <c r="G104" s="109" t="s">
        <v>350</v>
      </c>
      <c r="H104" s="109" t="s">
        <v>350</v>
      </c>
      <c r="I104" s="109" t="s">
        <v>351</v>
      </c>
      <c r="J104" s="109" t="s">
        <v>351</v>
      </c>
      <c r="K104" s="109" t="s">
        <v>351</v>
      </c>
      <c r="L104" s="109" t="s">
        <v>351</v>
      </c>
      <c r="M104" s="109" t="s">
        <v>351</v>
      </c>
      <c r="N104" s="109" t="s">
        <v>352</v>
      </c>
      <c r="O104" s="109" t="s">
        <v>352</v>
      </c>
      <c r="P104" s="109" t="s">
        <v>352</v>
      </c>
      <c r="Q104" s="110" t="s">
        <v>352</v>
      </c>
    </row>
    <row r="105" spans="2:17" ht="15.75" thickBot="1" x14ac:dyDescent="0.3">
      <c r="C105" s="102" t="s">
        <v>353</v>
      </c>
      <c r="D105" s="103" t="s">
        <v>354</v>
      </c>
      <c r="E105" s="103" t="s">
        <v>355</v>
      </c>
      <c r="F105" s="103" t="s">
        <v>356</v>
      </c>
      <c r="G105" s="103" t="s">
        <v>357</v>
      </c>
      <c r="H105" s="103" t="s">
        <v>358</v>
      </c>
      <c r="I105" s="103" t="s">
        <v>359</v>
      </c>
      <c r="J105" s="103" t="s">
        <v>360</v>
      </c>
      <c r="K105" s="103" t="s">
        <v>361</v>
      </c>
      <c r="L105" s="103" t="s">
        <v>362</v>
      </c>
      <c r="M105" s="103" t="s">
        <v>363</v>
      </c>
      <c r="N105" s="103" t="s">
        <v>364</v>
      </c>
      <c r="O105" s="103" t="s">
        <v>365</v>
      </c>
      <c r="P105" s="103" t="s">
        <v>366</v>
      </c>
      <c r="Q105" s="104" t="s">
        <v>367</v>
      </c>
    </row>
    <row r="106" spans="2:17" x14ac:dyDescent="0.25">
      <c r="C106" s="111" t="s">
        <v>368</v>
      </c>
      <c r="D106" s="112">
        <v>1987</v>
      </c>
      <c r="E106" s="112">
        <v>3013.4</v>
      </c>
      <c r="F106" s="112">
        <v>26213</v>
      </c>
      <c r="G106" s="112">
        <v>37859</v>
      </c>
      <c r="H106" s="112">
        <v>44025</v>
      </c>
      <c r="I106" s="112">
        <v>60006</v>
      </c>
      <c r="J106" s="112">
        <v>97780</v>
      </c>
      <c r="K106" s="112">
        <v>173820</v>
      </c>
      <c r="L106" s="112">
        <v>196260</v>
      </c>
      <c r="M106" s="112">
        <v>372160</v>
      </c>
      <c r="N106" s="112">
        <v>403530</v>
      </c>
      <c r="O106" s="112">
        <v>611340</v>
      </c>
      <c r="P106" s="112">
        <v>615540</v>
      </c>
      <c r="Q106" s="113">
        <v>638090</v>
      </c>
    </row>
    <row r="107" spans="2:17" x14ac:dyDescent="0.25">
      <c r="C107" s="105" t="s">
        <v>369</v>
      </c>
      <c r="D107" s="106">
        <v>1045.2</v>
      </c>
      <c r="E107" s="106">
        <v>1588.7</v>
      </c>
      <c r="F107" s="106">
        <v>13747</v>
      </c>
      <c r="G107" s="106">
        <v>19285</v>
      </c>
      <c r="H107" s="106">
        <v>22495</v>
      </c>
      <c r="I107" s="106">
        <v>30983</v>
      </c>
      <c r="J107" s="106">
        <v>50064</v>
      </c>
      <c r="K107" s="106">
        <v>86980</v>
      </c>
      <c r="L107" s="106">
        <v>97618</v>
      </c>
      <c r="M107" s="106">
        <v>178250</v>
      </c>
      <c r="N107" s="106">
        <v>199020</v>
      </c>
      <c r="O107" s="106">
        <v>288610</v>
      </c>
      <c r="P107" s="106">
        <v>290700</v>
      </c>
      <c r="Q107" s="107">
        <v>302240</v>
      </c>
    </row>
    <row r="108" spans="2:17" ht="15.75" thickBot="1" x14ac:dyDescent="0.3">
      <c r="C108" s="105" t="s">
        <v>370</v>
      </c>
      <c r="D108" s="106">
        <v>364.49</v>
      </c>
      <c r="E108" s="106">
        <v>560.11</v>
      </c>
      <c r="F108" s="106">
        <v>4954.3</v>
      </c>
      <c r="G108" s="106">
        <v>6445.3</v>
      </c>
      <c r="H108" s="106">
        <v>7479.7</v>
      </c>
      <c r="I108" s="106">
        <v>10484</v>
      </c>
      <c r="J108" s="106">
        <v>17938</v>
      </c>
      <c r="K108" s="106">
        <v>31435</v>
      </c>
      <c r="L108" s="106">
        <v>33423</v>
      </c>
      <c r="M108" s="106">
        <v>64345</v>
      </c>
      <c r="N108" s="106">
        <v>76012</v>
      </c>
      <c r="O108" s="106">
        <v>112740</v>
      </c>
      <c r="P108" s="106">
        <v>113490</v>
      </c>
      <c r="Q108" s="107">
        <v>117940</v>
      </c>
    </row>
    <row r="109" spans="2:17" x14ac:dyDescent="0.25">
      <c r="C109" s="115">
        <v>1996</v>
      </c>
      <c r="D109" s="116">
        <v>1513.5</v>
      </c>
      <c r="E109" s="116">
        <v>2294.4899999999998</v>
      </c>
      <c r="F109" s="116">
        <v>19962.7</v>
      </c>
      <c r="G109" s="116">
        <v>30241.3</v>
      </c>
      <c r="H109" s="116">
        <v>36389.199999999997</v>
      </c>
      <c r="I109" s="116">
        <v>51363.5</v>
      </c>
      <c r="J109" s="116">
        <v>84442.2</v>
      </c>
      <c r="K109" s="116">
        <v>140685</v>
      </c>
      <c r="L109" s="116">
        <v>158666</v>
      </c>
      <c r="M109" s="116">
        <v>265992</v>
      </c>
      <c r="N109" s="116">
        <v>296281</v>
      </c>
      <c r="O109" s="116">
        <v>397231</v>
      </c>
      <c r="P109" s="116">
        <v>399312</v>
      </c>
      <c r="Q109" s="117">
        <v>410581</v>
      </c>
    </row>
    <row r="110" spans="2:17" x14ac:dyDescent="0.25">
      <c r="C110" s="118">
        <v>1997</v>
      </c>
      <c r="D110" s="114">
        <v>1444.32</v>
      </c>
      <c r="E110" s="114">
        <v>2190.75</v>
      </c>
      <c r="F110" s="114">
        <v>18580.400000000001</v>
      </c>
      <c r="G110" s="114">
        <v>26689.3</v>
      </c>
      <c r="H110" s="114">
        <v>32475.8</v>
      </c>
      <c r="I110" s="114">
        <v>46576</v>
      </c>
      <c r="J110" s="114">
        <v>78007.5</v>
      </c>
      <c r="K110" s="114">
        <v>133685</v>
      </c>
      <c r="L110" s="114">
        <v>148419</v>
      </c>
      <c r="M110" s="114">
        <v>248795</v>
      </c>
      <c r="N110" s="114">
        <v>270334</v>
      </c>
      <c r="O110" s="114">
        <v>406243</v>
      </c>
      <c r="P110" s="114">
        <v>408890</v>
      </c>
      <c r="Q110" s="119">
        <v>423405</v>
      </c>
    </row>
    <row r="111" spans="2:17" x14ac:dyDescent="0.25">
      <c r="C111" s="118">
        <v>1998</v>
      </c>
      <c r="D111" s="114">
        <v>877.79200000000003</v>
      </c>
      <c r="E111" s="114">
        <v>1334.07</v>
      </c>
      <c r="F111" s="114">
        <v>11323.2</v>
      </c>
      <c r="G111" s="114">
        <v>14121.1</v>
      </c>
      <c r="H111" s="114">
        <v>15626.8</v>
      </c>
      <c r="I111" s="114">
        <v>20128.599999999999</v>
      </c>
      <c r="J111" s="114">
        <v>30850.2</v>
      </c>
      <c r="K111" s="114">
        <v>56308.9</v>
      </c>
      <c r="L111" s="114">
        <v>62546.1</v>
      </c>
      <c r="M111" s="114">
        <v>117963</v>
      </c>
      <c r="N111" s="114">
        <v>133382</v>
      </c>
      <c r="O111" s="114">
        <v>209121</v>
      </c>
      <c r="P111" s="114">
        <v>210838</v>
      </c>
      <c r="Q111" s="119">
        <v>220718</v>
      </c>
    </row>
    <row r="112" spans="2:17" x14ac:dyDescent="0.25">
      <c r="C112" s="118">
        <v>1999</v>
      </c>
      <c r="D112" s="114">
        <v>670.43100000000004</v>
      </c>
      <c r="E112" s="114">
        <v>1023.6</v>
      </c>
      <c r="F112" s="114">
        <v>8790.2900000000009</v>
      </c>
      <c r="G112" s="114">
        <v>14617.8</v>
      </c>
      <c r="H112" s="114">
        <v>19055.7</v>
      </c>
      <c r="I112" s="114">
        <v>30337.3</v>
      </c>
      <c r="J112" s="114">
        <v>51691.3</v>
      </c>
      <c r="K112" s="114">
        <v>84322.5</v>
      </c>
      <c r="L112" s="114">
        <v>96334.1</v>
      </c>
      <c r="M112" s="114">
        <v>159232</v>
      </c>
      <c r="N112" s="114">
        <v>177274</v>
      </c>
      <c r="O112" s="114">
        <v>247832</v>
      </c>
      <c r="P112" s="114">
        <v>249695</v>
      </c>
      <c r="Q112" s="119">
        <v>260154</v>
      </c>
    </row>
    <row r="113" spans="2:17" x14ac:dyDescent="0.25">
      <c r="C113" s="118">
        <v>2000</v>
      </c>
      <c r="D113" s="114">
        <v>397.02600000000001</v>
      </c>
      <c r="E113" s="114">
        <v>607.80200000000002</v>
      </c>
      <c r="F113" s="114">
        <v>5267.1</v>
      </c>
      <c r="G113" s="114">
        <v>6445.35</v>
      </c>
      <c r="H113" s="114">
        <v>7479.72</v>
      </c>
      <c r="I113" s="114">
        <v>10484.5</v>
      </c>
      <c r="J113" s="114">
        <v>17973.2</v>
      </c>
      <c r="K113" s="114">
        <v>31435.3</v>
      </c>
      <c r="L113" s="114">
        <v>33423.1</v>
      </c>
      <c r="M113" s="114">
        <v>64344.6</v>
      </c>
      <c r="N113" s="114">
        <v>76011.600000000006</v>
      </c>
      <c r="O113" s="114">
        <v>113844</v>
      </c>
      <c r="P113" s="114">
        <v>114899</v>
      </c>
      <c r="Q113" s="119">
        <v>121050</v>
      </c>
    </row>
    <row r="114" spans="2:17" x14ac:dyDescent="0.25">
      <c r="C114" s="118">
        <v>2001</v>
      </c>
      <c r="D114" s="114">
        <v>1853.32</v>
      </c>
      <c r="E114" s="114">
        <v>2807.66</v>
      </c>
      <c r="F114" s="114">
        <v>24231.4</v>
      </c>
      <c r="G114" s="114">
        <v>35440.6</v>
      </c>
      <c r="H114" s="114">
        <v>41685.599999999999</v>
      </c>
      <c r="I114" s="114">
        <v>56934.5</v>
      </c>
      <c r="J114" s="114">
        <v>92212.6</v>
      </c>
      <c r="K114" s="114">
        <v>157199</v>
      </c>
      <c r="L114" s="114">
        <v>173439</v>
      </c>
      <c r="M114" s="114">
        <v>300107</v>
      </c>
      <c r="N114" s="114">
        <v>333218</v>
      </c>
      <c r="O114" s="114">
        <v>439947</v>
      </c>
      <c r="P114" s="114">
        <v>443085</v>
      </c>
      <c r="Q114" s="119">
        <v>460423</v>
      </c>
    </row>
    <row r="115" spans="2:17" x14ac:dyDescent="0.25">
      <c r="C115" s="118">
        <v>2002</v>
      </c>
      <c r="D115" s="114">
        <v>525.97199999999998</v>
      </c>
      <c r="E115" s="114">
        <v>801.25400000000002</v>
      </c>
      <c r="F115" s="114">
        <v>7337.1</v>
      </c>
      <c r="G115" s="114">
        <v>10669.5</v>
      </c>
      <c r="H115" s="114">
        <v>11876</v>
      </c>
      <c r="I115" s="114">
        <v>15213.7</v>
      </c>
      <c r="J115" s="114">
        <v>24882.400000000001</v>
      </c>
      <c r="K115" s="114">
        <v>43298.2</v>
      </c>
      <c r="L115" s="114">
        <v>46258.5</v>
      </c>
      <c r="M115" s="114">
        <v>83067.3</v>
      </c>
      <c r="N115" s="114">
        <v>96009.600000000006</v>
      </c>
      <c r="O115" s="114">
        <v>156071</v>
      </c>
      <c r="P115" s="114">
        <v>158417</v>
      </c>
      <c r="Q115" s="119">
        <v>171260</v>
      </c>
    </row>
    <row r="116" spans="2:17" x14ac:dyDescent="0.25">
      <c r="C116" s="118">
        <v>2003</v>
      </c>
      <c r="D116" s="114">
        <v>364.48599999999999</v>
      </c>
      <c r="E116" s="114">
        <v>560.11400000000003</v>
      </c>
      <c r="F116" s="114">
        <v>4954.3100000000004</v>
      </c>
      <c r="G116" s="114">
        <v>6783.67</v>
      </c>
      <c r="H116" s="114">
        <v>7994.34</v>
      </c>
      <c r="I116" s="114">
        <v>11521.2</v>
      </c>
      <c r="J116" s="114">
        <v>17938</v>
      </c>
      <c r="K116" s="114">
        <v>38789.1</v>
      </c>
      <c r="L116" s="114">
        <v>42385.599999999999</v>
      </c>
      <c r="M116" s="114">
        <v>72065.7</v>
      </c>
      <c r="N116" s="114">
        <v>80047.199999999997</v>
      </c>
      <c r="O116" s="114">
        <v>112743</v>
      </c>
      <c r="P116" s="114">
        <v>113491</v>
      </c>
      <c r="Q116" s="119">
        <v>117945</v>
      </c>
    </row>
    <row r="117" spans="2:17" x14ac:dyDescent="0.25">
      <c r="C117" s="118">
        <v>2004</v>
      </c>
      <c r="D117" s="114">
        <v>512.67100000000005</v>
      </c>
      <c r="E117" s="114">
        <v>783.36</v>
      </c>
      <c r="F117" s="114">
        <v>6901.53</v>
      </c>
      <c r="G117" s="114">
        <v>10105.299999999999</v>
      </c>
      <c r="H117" s="114">
        <v>11910.6</v>
      </c>
      <c r="I117" s="114">
        <v>18853.400000000001</v>
      </c>
      <c r="J117" s="114">
        <v>34207.4</v>
      </c>
      <c r="K117" s="114">
        <v>68853.600000000006</v>
      </c>
      <c r="L117" s="114">
        <v>84522.8</v>
      </c>
      <c r="M117" s="114">
        <v>166976</v>
      </c>
      <c r="N117" s="114">
        <v>190082</v>
      </c>
      <c r="O117" s="114">
        <v>304285</v>
      </c>
      <c r="P117" s="114">
        <v>306728</v>
      </c>
      <c r="Q117" s="119">
        <v>320075</v>
      </c>
    </row>
    <row r="118" spans="2:17" x14ac:dyDescent="0.25">
      <c r="C118" s="118">
        <v>2005</v>
      </c>
      <c r="D118" s="114">
        <v>929.59199999999998</v>
      </c>
      <c r="E118" s="114">
        <v>1415.19</v>
      </c>
      <c r="F118" s="114">
        <v>12455.1</v>
      </c>
      <c r="G118" s="114">
        <v>17371.900000000001</v>
      </c>
      <c r="H118" s="114">
        <v>19967.8</v>
      </c>
      <c r="I118" s="114">
        <v>27583.9</v>
      </c>
      <c r="J118" s="114">
        <v>42109.4</v>
      </c>
      <c r="K118" s="114">
        <v>82637.399999999994</v>
      </c>
      <c r="L118" s="114">
        <v>94933.1</v>
      </c>
      <c r="M118" s="114">
        <v>197189</v>
      </c>
      <c r="N118" s="114">
        <v>224771</v>
      </c>
      <c r="O118" s="114">
        <v>355550</v>
      </c>
      <c r="P118" s="114">
        <v>359076</v>
      </c>
      <c r="Q118" s="119">
        <v>378044</v>
      </c>
    </row>
    <row r="119" spans="2:17" x14ac:dyDescent="0.25">
      <c r="C119" s="118">
        <v>2006</v>
      </c>
      <c r="D119" s="114">
        <v>1038.71</v>
      </c>
      <c r="E119" s="114">
        <v>1579.17</v>
      </c>
      <c r="F119" s="114">
        <v>13679</v>
      </c>
      <c r="G119" s="114">
        <v>17904.8</v>
      </c>
      <c r="H119" s="114">
        <v>19866</v>
      </c>
      <c r="I119" s="114">
        <v>25681.3</v>
      </c>
      <c r="J119" s="114">
        <v>38084.9</v>
      </c>
      <c r="K119" s="114">
        <v>66793.5</v>
      </c>
      <c r="L119" s="114">
        <v>75192.800000000003</v>
      </c>
      <c r="M119" s="114">
        <v>158504</v>
      </c>
      <c r="N119" s="114">
        <v>186507</v>
      </c>
      <c r="O119" s="114">
        <v>269253</v>
      </c>
      <c r="P119" s="114">
        <v>271360</v>
      </c>
      <c r="Q119" s="119">
        <v>283110</v>
      </c>
    </row>
    <row r="120" spans="2:17" x14ac:dyDescent="0.25">
      <c r="C120" s="118">
        <v>2007</v>
      </c>
      <c r="D120" s="114">
        <v>1150.49</v>
      </c>
      <c r="E120" s="114">
        <v>1748.83</v>
      </c>
      <c r="F120" s="114">
        <v>15129.4</v>
      </c>
      <c r="G120" s="114">
        <v>19122.400000000001</v>
      </c>
      <c r="H120" s="114">
        <v>21860</v>
      </c>
      <c r="I120" s="114">
        <v>28807.1</v>
      </c>
      <c r="J120" s="114">
        <v>44262.9</v>
      </c>
      <c r="K120" s="114">
        <v>71134.100000000006</v>
      </c>
      <c r="L120" s="114">
        <v>79075.7</v>
      </c>
      <c r="M120" s="114">
        <v>156234</v>
      </c>
      <c r="N120" s="114">
        <v>178693</v>
      </c>
      <c r="O120" s="114">
        <v>257976</v>
      </c>
      <c r="P120" s="114">
        <v>260162</v>
      </c>
      <c r="Q120" s="119">
        <v>272130</v>
      </c>
    </row>
    <row r="121" spans="2:17" x14ac:dyDescent="0.25">
      <c r="C121" s="118">
        <v>2008</v>
      </c>
      <c r="D121" s="114">
        <v>951.63400000000001</v>
      </c>
      <c r="E121" s="114">
        <v>1447.94</v>
      </c>
      <c r="F121" s="114">
        <v>12287.2</v>
      </c>
      <c r="G121" s="114">
        <v>15668.8</v>
      </c>
      <c r="H121" s="114">
        <v>17731.3</v>
      </c>
      <c r="I121" s="114">
        <v>23561.3</v>
      </c>
      <c r="J121" s="114">
        <v>37254.6</v>
      </c>
      <c r="K121" s="114">
        <v>62403.1</v>
      </c>
      <c r="L121" s="114">
        <v>70949.3</v>
      </c>
      <c r="M121" s="114">
        <v>130433</v>
      </c>
      <c r="N121" s="114">
        <v>144215</v>
      </c>
      <c r="O121" s="114">
        <v>202905</v>
      </c>
      <c r="P121" s="114">
        <v>204351</v>
      </c>
      <c r="Q121" s="119">
        <v>212447</v>
      </c>
    </row>
    <row r="122" spans="2:17" x14ac:dyDescent="0.25">
      <c r="C122" s="118">
        <v>2009</v>
      </c>
      <c r="D122" s="114">
        <v>695.279</v>
      </c>
      <c r="E122" s="114">
        <v>1056.22</v>
      </c>
      <c r="F122" s="114">
        <v>9513.8799999999992</v>
      </c>
      <c r="G122" s="114">
        <v>13731.9</v>
      </c>
      <c r="H122" s="114">
        <v>15437.7</v>
      </c>
      <c r="I122" s="114">
        <v>20051.3</v>
      </c>
      <c r="J122" s="114">
        <v>30386.6</v>
      </c>
      <c r="K122" s="114">
        <v>61837.9</v>
      </c>
      <c r="L122" s="114">
        <v>66660</v>
      </c>
      <c r="M122" s="114">
        <v>129872</v>
      </c>
      <c r="N122" s="114">
        <v>144691</v>
      </c>
      <c r="O122" s="114">
        <v>205156</v>
      </c>
      <c r="P122" s="114">
        <v>206156</v>
      </c>
      <c r="Q122" s="119">
        <v>211836</v>
      </c>
    </row>
    <row r="123" spans="2:17" x14ac:dyDescent="0.25">
      <c r="C123" s="118">
        <v>2010</v>
      </c>
      <c r="D123" s="114">
        <v>1987.01</v>
      </c>
      <c r="E123" s="114">
        <v>3013.43</v>
      </c>
      <c r="F123" s="114">
        <v>26213.4</v>
      </c>
      <c r="G123" s="114">
        <v>37859.199999999997</v>
      </c>
      <c r="H123" s="114">
        <v>44025.1</v>
      </c>
      <c r="I123" s="114">
        <v>60006.2</v>
      </c>
      <c r="J123" s="114">
        <v>97780.2</v>
      </c>
      <c r="K123" s="114">
        <v>173817</v>
      </c>
      <c r="L123" s="114">
        <v>196256</v>
      </c>
      <c r="M123" s="114">
        <v>372158</v>
      </c>
      <c r="N123" s="114">
        <v>403526</v>
      </c>
      <c r="O123" s="114">
        <v>611343</v>
      </c>
      <c r="P123" s="114">
        <v>615538</v>
      </c>
      <c r="Q123" s="119">
        <v>638091</v>
      </c>
    </row>
    <row r="124" spans="2:17" x14ac:dyDescent="0.25">
      <c r="C124" s="118">
        <v>2011</v>
      </c>
      <c r="D124" s="114">
        <v>1903.94</v>
      </c>
      <c r="E124" s="114">
        <v>2889.23</v>
      </c>
      <c r="F124" s="114">
        <v>24544.1</v>
      </c>
      <c r="G124" s="114">
        <v>33924.400000000001</v>
      </c>
      <c r="H124" s="114">
        <v>38944.800000000003</v>
      </c>
      <c r="I124" s="114">
        <v>51410.6</v>
      </c>
      <c r="J124" s="114">
        <v>84713.9</v>
      </c>
      <c r="K124" s="114">
        <v>132978</v>
      </c>
      <c r="L124" s="114">
        <v>147471</v>
      </c>
      <c r="M124" s="114">
        <v>264887</v>
      </c>
      <c r="N124" s="114">
        <v>296433</v>
      </c>
      <c r="O124" s="114">
        <v>412822</v>
      </c>
      <c r="P124" s="114">
        <v>414790</v>
      </c>
      <c r="Q124" s="119">
        <v>425826</v>
      </c>
    </row>
    <row r="125" spans="2:17" ht="15.75" thickBot="1" x14ac:dyDescent="0.3">
      <c r="C125" s="120">
        <v>2012</v>
      </c>
      <c r="D125" s="121">
        <v>952.73599999999999</v>
      </c>
      <c r="E125" s="121">
        <v>1454.18</v>
      </c>
      <c r="F125" s="121">
        <v>12532.2</v>
      </c>
      <c r="G125" s="121">
        <v>17147.3</v>
      </c>
      <c r="H125" s="121">
        <v>20081.7</v>
      </c>
      <c r="I125" s="121">
        <v>28204.6</v>
      </c>
      <c r="J125" s="121">
        <v>44297.1</v>
      </c>
      <c r="K125" s="121">
        <v>72487.600000000006</v>
      </c>
      <c r="L125" s="121">
        <v>82981.7</v>
      </c>
      <c r="M125" s="121">
        <v>142492</v>
      </c>
      <c r="N125" s="121">
        <v>151941</v>
      </c>
      <c r="O125" s="121">
        <v>204035</v>
      </c>
      <c r="P125" s="121">
        <v>205076</v>
      </c>
      <c r="Q125" s="122">
        <v>211026</v>
      </c>
    </row>
    <row r="127" spans="2:17" ht="15.75" thickBot="1" x14ac:dyDescent="0.3">
      <c r="B127" s="22" t="s">
        <v>371</v>
      </c>
    </row>
    <row r="128" spans="2:17" ht="15.75" thickBot="1" x14ac:dyDescent="0.3">
      <c r="C128" s="102" t="s">
        <v>345</v>
      </c>
      <c r="D128" s="103"/>
      <c r="E128" s="103"/>
      <c r="F128" s="103"/>
      <c r="G128" s="103"/>
      <c r="H128" s="103"/>
      <c r="I128" s="103" t="s">
        <v>373</v>
      </c>
      <c r="J128" s="103"/>
      <c r="K128" s="103"/>
      <c r="L128" s="103"/>
      <c r="M128" s="103"/>
      <c r="N128" s="103"/>
      <c r="O128" s="103"/>
      <c r="P128" s="103"/>
      <c r="Q128" s="104"/>
    </row>
    <row r="129" spans="3:19" ht="15.75" thickBot="1" x14ac:dyDescent="0.3">
      <c r="C129" s="102" t="s">
        <v>347</v>
      </c>
      <c r="D129" s="103" t="s">
        <v>348</v>
      </c>
      <c r="E129" s="103" t="s">
        <v>348</v>
      </c>
      <c r="F129" s="103" t="s">
        <v>348</v>
      </c>
      <c r="G129" s="103" t="s">
        <v>348</v>
      </c>
      <c r="H129" s="103" t="s">
        <v>348</v>
      </c>
      <c r="I129" s="103" t="s">
        <v>348</v>
      </c>
      <c r="J129" s="103" t="s">
        <v>348</v>
      </c>
      <c r="K129" s="103" t="s">
        <v>348</v>
      </c>
      <c r="L129" s="103" t="s">
        <v>348</v>
      </c>
      <c r="M129" s="103" t="s">
        <v>348</v>
      </c>
      <c r="N129" s="103" t="s">
        <v>348</v>
      </c>
      <c r="O129" s="103" t="s">
        <v>348</v>
      </c>
      <c r="P129" s="103" t="s">
        <v>348</v>
      </c>
      <c r="Q129" s="104" t="s">
        <v>348</v>
      </c>
      <c r="R129" s="70"/>
      <c r="S129" s="71"/>
    </row>
    <row r="130" spans="3:19" ht="105.75" thickBot="1" x14ac:dyDescent="0.3">
      <c r="C130" s="108" t="s">
        <v>349</v>
      </c>
      <c r="D130" s="109" t="s">
        <v>374</v>
      </c>
      <c r="E130" s="109" t="s">
        <v>374</v>
      </c>
      <c r="F130" s="109" t="s">
        <v>374</v>
      </c>
      <c r="G130" s="109" t="s">
        <v>374</v>
      </c>
      <c r="H130" s="109" t="s">
        <v>374</v>
      </c>
      <c r="I130" s="109" t="s">
        <v>375</v>
      </c>
      <c r="J130" s="109" t="s">
        <v>375</v>
      </c>
      <c r="K130" s="109" t="s">
        <v>375</v>
      </c>
      <c r="L130" s="109" t="s">
        <v>375</v>
      </c>
      <c r="M130" s="109" t="s">
        <v>375</v>
      </c>
      <c r="N130" s="109" t="s">
        <v>376</v>
      </c>
      <c r="O130" s="109" t="s">
        <v>376</v>
      </c>
      <c r="P130" s="109" t="s">
        <v>376</v>
      </c>
      <c r="Q130" s="110" t="s">
        <v>376</v>
      </c>
    </row>
    <row r="131" spans="3:19" ht="15.75" thickBot="1" x14ac:dyDescent="0.3">
      <c r="C131" s="102" t="s">
        <v>353</v>
      </c>
      <c r="D131" s="103" t="s">
        <v>354</v>
      </c>
      <c r="E131" s="103" t="s">
        <v>355</v>
      </c>
      <c r="F131" s="103" t="s">
        <v>356</v>
      </c>
      <c r="G131" s="103" t="s">
        <v>357</v>
      </c>
      <c r="H131" s="103" t="s">
        <v>358</v>
      </c>
      <c r="I131" s="103" t="s">
        <v>359</v>
      </c>
      <c r="J131" s="103" t="s">
        <v>360</v>
      </c>
      <c r="K131" s="103" t="s">
        <v>361</v>
      </c>
      <c r="L131" s="103" t="s">
        <v>362</v>
      </c>
      <c r="M131" s="103" t="s">
        <v>363</v>
      </c>
      <c r="N131" s="103" t="s">
        <v>364</v>
      </c>
      <c r="O131" s="103" t="s">
        <v>365</v>
      </c>
      <c r="P131" s="103" t="s">
        <v>366</v>
      </c>
      <c r="Q131" s="104" t="s">
        <v>367</v>
      </c>
    </row>
    <row r="132" spans="3:19" x14ac:dyDescent="0.25">
      <c r="C132" s="111" t="s">
        <v>368</v>
      </c>
      <c r="D132" s="112">
        <v>1873.8</v>
      </c>
      <c r="E132" s="112">
        <v>2900.7</v>
      </c>
      <c r="F132" s="112">
        <v>26101</v>
      </c>
      <c r="G132" s="112">
        <v>37750</v>
      </c>
      <c r="H132" s="112">
        <v>43916</v>
      </c>
      <c r="I132" s="112">
        <v>59898</v>
      </c>
      <c r="J132" s="112">
        <v>97672</v>
      </c>
      <c r="K132" s="112">
        <v>173710</v>
      </c>
      <c r="L132" s="112">
        <v>196150</v>
      </c>
      <c r="M132" s="112">
        <v>372050</v>
      </c>
      <c r="N132" s="112">
        <v>403420</v>
      </c>
      <c r="O132" s="112">
        <v>611240</v>
      </c>
      <c r="P132" s="112">
        <v>615430</v>
      </c>
      <c r="Q132" s="113">
        <v>637980</v>
      </c>
    </row>
    <row r="133" spans="3:19" x14ac:dyDescent="0.25">
      <c r="C133" s="105" t="s">
        <v>369</v>
      </c>
      <c r="D133" s="106">
        <v>910.19</v>
      </c>
      <c r="E133" s="106">
        <v>1453.7</v>
      </c>
      <c r="F133" s="106">
        <v>13612</v>
      </c>
      <c r="G133" s="106">
        <v>19150</v>
      </c>
      <c r="H133" s="106">
        <v>22360</v>
      </c>
      <c r="I133" s="106">
        <v>30849</v>
      </c>
      <c r="J133" s="106">
        <v>49930</v>
      </c>
      <c r="K133" s="106">
        <v>86846</v>
      </c>
      <c r="L133" s="106">
        <v>97484</v>
      </c>
      <c r="M133" s="106">
        <v>178120</v>
      </c>
      <c r="N133" s="106">
        <v>198890</v>
      </c>
      <c r="O133" s="106">
        <v>288480</v>
      </c>
      <c r="P133" s="106">
        <v>290560</v>
      </c>
      <c r="Q133" s="107">
        <v>302110</v>
      </c>
    </row>
    <row r="134" spans="3:19" ht="15.75" thickBot="1" x14ac:dyDescent="0.3">
      <c r="C134" s="105" t="s">
        <v>370</v>
      </c>
      <c r="D134" s="106">
        <v>287.7</v>
      </c>
      <c r="E134" s="106">
        <v>484.51</v>
      </c>
      <c r="F134" s="106">
        <v>4878.8</v>
      </c>
      <c r="G134" s="106">
        <v>6336.5</v>
      </c>
      <c r="H134" s="106">
        <v>7370.9</v>
      </c>
      <c r="I134" s="106">
        <v>10376</v>
      </c>
      <c r="J134" s="106">
        <v>17863</v>
      </c>
      <c r="K134" s="106">
        <v>31327</v>
      </c>
      <c r="L134" s="106">
        <v>33315</v>
      </c>
      <c r="M134" s="106">
        <v>64236</v>
      </c>
      <c r="N134" s="106">
        <v>75903</v>
      </c>
      <c r="O134" s="106">
        <v>112670</v>
      </c>
      <c r="P134" s="106">
        <v>113420</v>
      </c>
      <c r="Q134" s="107">
        <v>117870</v>
      </c>
    </row>
    <row r="135" spans="3:19" x14ac:dyDescent="0.25">
      <c r="C135" s="115">
        <v>1996</v>
      </c>
      <c r="D135" s="116">
        <v>1426.48</v>
      </c>
      <c r="E135" s="116">
        <v>2207.37</v>
      </c>
      <c r="F135" s="116">
        <v>19875.5</v>
      </c>
      <c r="G135" s="116">
        <v>30153.7</v>
      </c>
      <c r="H135" s="116">
        <v>36301.599999999999</v>
      </c>
      <c r="I135" s="116">
        <v>51275.8</v>
      </c>
      <c r="J135" s="116">
        <v>84354.5</v>
      </c>
      <c r="K135" s="116">
        <v>140597</v>
      </c>
      <c r="L135" s="116">
        <v>158579</v>
      </c>
      <c r="M135" s="116">
        <v>265905</v>
      </c>
      <c r="N135" s="116">
        <v>296193</v>
      </c>
      <c r="O135" s="116">
        <v>397144</v>
      </c>
      <c r="P135" s="116">
        <v>399224</v>
      </c>
      <c r="Q135" s="117">
        <v>410493</v>
      </c>
    </row>
    <row r="136" spans="3:19" x14ac:dyDescent="0.25">
      <c r="C136" s="118">
        <v>1997</v>
      </c>
      <c r="D136" s="114">
        <v>1205</v>
      </c>
      <c r="E136" s="114">
        <v>1951.51</v>
      </c>
      <c r="F136" s="114">
        <v>18341.2</v>
      </c>
      <c r="G136" s="114">
        <v>26450.400000000001</v>
      </c>
      <c r="H136" s="114">
        <v>32236.9</v>
      </c>
      <c r="I136" s="114">
        <v>46337.2</v>
      </c>
      <c r="J136" s="114">
        <v>77768.800000000003</v>
      </c>
      <c r="K136" s="114">
        <v>133447</v>
      </c>
      <c r="L136" s="114">
        <v>148180</v>
      </c>
      <c r="M136" s="114">
        <v>248556</v>
      </c>
      <c r="N136" s="114">
        <v>270096</v>
      </c>
      <c r="O136" s="114">
        <v>406004</v>
      </c>
      <c r="P136" s="114">
        <v>408652</v>
      </c>
      <c r="Q136" s="119">
        <v>423166</v>
      </c>
    </row>
    <row r="137" spans="3:19" x14ac:dyDescent="0.25">
      <c r="C137" s="118">
        <v>1998</v>
      </c>
      <c r="D137" s="114">
        <v>716.28399999999999</v>
      </c>
      <c r="E137" s="114">
        <v>1172.6199999999999</v>
      </c>
      <c r="F137" s="114">
        <v>11161.8</v>
      </c>
      <c r="G137" s="114">
        <v>13960</v>
      </c>
      <c r="H137" s="114">
        <v>15465.8</v>
      </c>
      <c r="I137" s="114">
        <v>19967.7</v>
      </c>
      <c r="J137" s="114">
        <v>30689.4</v>
      </c>
      <c r="K137" s="114">
        <v>56148.2</v>
      </c>
      <c r="L137" s="114">
        <v>62385.5</v>
      </c>
      <c r="M137" s="114">
        <v>117802</v>
      </c>
      <c r="N137" s="114">
        <v>133221</v>
      </c>
      <c r="O137" s="114">
        <v>208960</v>
      </c>
      <c r="P137" s="114">
        <v>210678</v>
      </c>
      <c r="Q137" s="119">
        <v>220557</v>
      </c>
    </row>
    <row r="138" spans="3:19" x14ac:dyDescent="0.25">
      <c r="C138" s="118">
        <v>1999</v>
      </c>
      <c r="D138" s="114">
        <v>526.351</v>
      </c>
      <c r="E138" s="114">
        <v>879.66</v>
      </c>
      <c r="F138" s="114">
        <v>8646.41</v>
      </c>
      <c r="G138" s="114">
        <v>14474.2</v>
      </c>
      <c r="H138" s="114">
        <v>18912.099999999999</v>
      </c>
      <c r="I138" s="114">
        <v>30193.8</v>
      </c>
      <c r="J138" s="114">
        <v>51547.9</v>
      </c>
      <c r="K138" s="114">
        <v>84179.1</v>
      </c>
      <c r="L138" s="114">
        <v>96190.7</v>
      </c>
      <c r="M138" s="114">
        <v>159088</v>
      </c>
      <c r="N138" s="114">
        <v>177130</v>
      </c>
      <c r="O138" s="114">
        <v>247689</v>
      </c>
      <c r="P138" s="114">
        <v>249552</v>
      </c>
      <c r="Q138" s="119">
        <v>260010</v>
      </c>
    </row>
    <row r="139" spans="3:19" x14ac:dyDescent="0.25">
      <c r="C139" s="118">
        <v>2000</v>
      </c>
      <c r="D139" s="114">
        <v>287.70299999999997</v>
      </c>
      <c r="E139" s="114">
        <v>498.57799999999997</v>
      </c>
      <c r="F139" s="114">
        <v>5157.93</v>
      </c>
      <c r="G139" s="114">
        <v>6336.48</v>
      </c>
      <c r="H139" s="114">
        <v>7370.93</v>
      </c>
      <c r="I139" s="114">
        <v>10375.799999999999</v>
      </c>
      <c r="J139" s="114">
        <v>17864.599999999999</v>
      </c>
      <c r="K139" s="114">
        <v>31326.7</v>
      </c>
      <c r="L139" s="114">
        <v>33314.5</v>
      </c>
      <c r="M139" s="114">
        <v>64236.1</v>
      </c>
      <c r="N139" s="114">
        <v>75903.100000000006</v>
      </c>
      <c r="O139" s="114">
        <v>113736</v>
      </c>
      <c r="P139" s="114">
        <v>114790</v>
      </c>
      <c r="Q139" s="119">
        <v>120941</v>
      </c>
    </row>
    <row r="140" spans="3:19" x14ac:dyDescent="0.25">
      <c r="C140" s="118">
        <v>2001</v>
      </c>
      <c r="D140" s="114">
        <v>1707.74</v>
      </c>
      <c r="E140" s="114">
        <v>2662.17</v>
      </c>
      <c r="F140" s="114">
        <v>24086</v>
      </c>
      <c r="G140" s="114">
        <v>35295.4</v>
      </c>
      <c r="H140" s="114">
        <v>41540.5</v>
      </c>
      <c r="I140" s="114">
        <v>56789.4</v>
      </c>
      <c r="J140" s="114">
        <v>92067.6</v>
      </c>
      <c r="K140" s="114">
        <v>157054</v>
      </c>
      <c r="L140" s="114">
        <v>173294</v>
      </c>
      <c r="M140" s="114">
        <v>299962</v>
      </c>
      <c r="N140" s="114">
        <v>333073</v>
      </c>
      <c r="O140" s="114">
        <v>439802</v>
      </c>
      <c r="P140" s="114">
        <v>442940</v>
      </c>
      <c r="Q140" s="119">
        <v>460278</v>
      </c>
    </row>
    <row r="141" spans="3:19" x14ac:dyDescent="0.25">
      <c r="C141" s="118">
        <v>2002</v>
      </c>
      <c r="D141" s="114">
        <v>597.65599999999995</v>
      </c>
      <c r="E141" s="114">
        <v>873.03</v>
      </c>
      <c r="F141" s="114">
        <v>7408.88</v>
      </c>
      <c r="G141" s="114">
        <v>10741.3</v>
      </c>
      <c r="H141" s="114">
        <v>11947.8</v>
      </c>
      <c r="I141" s="114">
        <v>15285.5</v>
      </c>
      <c r="J141" s="114">
        <v>24954.1</v>
      </c>
      <c r="K141" s="114">
        <v>43369.9</v>
      </c>
      <c r="L141" s="114">
        <v>46330.2</v>
      </c>
      <c r="M141" s="114">
        <v>83139.100000000006</v>
      </c>
      <c r="N141" s="114">
        <v>96081.4</v>
      </c>
      <c r="O141" s="114">
        <v>156142</v>
      </c>
      <c r="P141" s="114">
        <v>158489</v>
      </c>
      <c r="Q141" s="119">
        <v>171332</v>
      </c>
    </row>
    <row r="142" spans="3:19" x14ac:dyDescent="0.25">
      <c r="C142" s="118">
        <v>2003</v>
      </c>
      <c r="D142" s="114">
        <v>288.726</v>
      </c>
      <c r="E142" s="114">
        <v>484.51</v>
      </c>
      <c r="F142" s="114">
        <v>4878.7700000000004</v>
      </c>
      <c r="G142" s="114">
        <v>6708.41</v>
      </c>
      <c r="H142" s="114">
        <v>7919.15</v>
      </c>
      <c r="I142" s="114">
        <v>11446.2</v>
      </c>
      <c r="J142" s="114">
        <v>17863.099999999999</v>
      </c>
      <c r="K142" s="114">
        <v>38714.199999999997</v>
      </c>
      <c r="L142" s="114">
        <v>42310.6</v>
      </c>
      <c r="M142" s="114">
        <v>71990.899999999994</v>
      </c>
      <c r="N142" s="114">
        <v>79972.3</v>
      </c>
      <c r="O142" s="114">
        <v>112668</v>
      </c>
      <c r="P142" s="114">
        <v>113417</v>
      </c>
      <c r="Q142" s="119">
        <v>117870</v>
      </c>
    </row>
    <row r="143" spans="3:19" x14ac:dyDescent="0.25">
      <c r="C143" s="118">
        <v>2004</v>
      </c>
      <c r="D143" s="114">
        <v>392.48700000000002</v>
      </c>
      <c r="E143" s="114">
        <v>663.28200000000004</v>
      </c>
      <c r="F143" s="114">
        <v>6781.49</v>
      </c>
      <c r="G143" s="114">
        <v>9985.41</v>
      </c>
      <c r="H143" s="114">
        <v>11790.8</v>
      </c>
      <c r="I143" s="114">
        <v>18733.599999999999</v>
      </c>
      <c r="J143" s="114">
        <v>34087.599999999999</v>
      </c>
      <c r="K143" s="114">
        <v>68733.899999999994</v>
      </c>
      <c r="L143" s="114">
        <v>84403.1</v>
      </c>
      <c r="M143" s="114">
        <v>166856</v>
      </c>
      <c r="N143" s="114">
        <v>189962</v>
      </c>
      <c r="O143" s="114">
        <v>304166</v>
      </c>
      <c r="P143" s="114">
        <v>306608</v>
      </c>
      <c r="Q143" s="119">
        <v>319955</v>
      </c>
    </row>
    <row r="144" spans="3:19" x14ac:dyDescent="0.25">
      <c r="C144" s="118">
        <v>2005</v>
      </c>
      <c r="D144" s="114">
        <v>805.976</v>
      </c>
      <c r="E144" s="114">
        <v>1291.6199999999999</v>
      </c>
      <c r="F144" s="114">
        <v>12331.7</v>
      </c>
      <c r="G144" s="114">
        <v>17248.599999999999</v>
      </c>
      <c r="H144" s="114">
        <v>19844.5</v>
      </c>
      <c r="I144" s="114">
        <v>27460.7</v>
      </c>
      <c r="J144" s="114">
        <v>41986.2</v>
      </c>
      <c r="K144" s="114">
        <v>82514.2</v>
      </c>
      <c r="L144" s="114">
        <v>94809.9</v>
      </c>
      <c r="M144" s="114">
        <v>197066</v>
      </c>
      <c r="N144" s="114">
        <v>224648</v>
      </c>
      <c r="O144" s="114">
        <v>355427</v>
      </c>
      <c r="P144" s="114">
        <v>358953</v>
      </c>
      <c r="Q144" s="119">
        <v>377921</v>
      </c>
    </row>
    <row r="145" spans="3:17" x14ac:dyDescent="0.25">
      <c r="C145" s="118">
        <v>2006</v>
      </c>
      <c r="D145" s="114">
        <v>878.45799999999997</v>
      </c>
      <c r="E145" s="114">
        <v>1419.03</v>
      </c>
      <c r="F145" s="114">
        <v>13518.9</v>
      </c>
      <c r="G145" s="114">
        <v>17745</v>
      </c>
      <c r="H145" s="114">
        <v>19706.2</v>
      </c>
      <c r="I145" s="114">
        <v>25521.599999999999</v>
      </c>
      <c r="J145" s="114">
        <v>37925.300000000003</v>
      </c>
      <c r="K145" s="114">
        <v>66633.899999999994</v>
      </c>
      <c r="L145" s="114">
        <v>75033.3</v>
      </c>
      <c r="M145" s="114">
        <v>158345</v>
      </c>
      <c r="N145" s="114">
        <v>186347</v>
      </c>
      <c r="O145" s="114">
        <v>269094</v>
      </c>
      <c r="P145" s="114">
        <v>271200</v>
      </c>
      <c r="Q145" s="119">
        <v>282951</v>
      </c>
    </row>
    <row r="146" spans="3:17" x14ac:dyDescent="0.25">
      <c r="C146" s="118">
        <v>2007</v>
      </c>
      <c r="D146" s="114">
        <v>1077.23</v>
      </c>
      <c r="E146" s="114">
        <v>1675.73</v>
      </c>
      <c r="F146" s="114">
        <v>15056.4</v>
      </c>
      <c r="G146" s="114">
        <v>19049.599999999999</v>
      </c>
      <c r="H146" s="114">
        <v>21787.4</v>
      </c>
      <c r="I146" s="114">
        <v>28734.799999999999</v>
      </c>
      <c r="J146" s="114">
        <v>44190.6</v>
      </c>
      <c r="K146" s="114">
        <v>71062</v>
      </c>
      <c r="L146" s="114">
        <v>79003.600000000006</v>
      </c>
      <c r="M146" s="114">
        <v>156162</v>
      </c>
      <c r="N146" s="114">
        <v>178621</v>
      </c>
      <c r="O146" s="114">
        <v>257904</v>
      </c>
      <c r="P146" s="114">
        <v>260090</v>
      </c>
      <c r="Q146" s="119">
        <v>272058</v>
      </c>
    </row>
    <row r="147" spans="3:17" x14ac:dyDescent="0.25">
      <c r="C147" s="118">
        <v>2008</v>
      </c>
      <c r="D147" s="114">
        <v>758.85599999999999</v>
      </c>
      <c r="E147" s="114">
        <v>1255.31</v>
      </c>
      <c r="F147" s="114">
        <v>12094.6</v>
      </c>
      <c r="G147" s="114">
        <v>15476.4</v>
      </c>
      <c r="H147" s="114">
        <v>17539</v>
      </c>
      <c r="I147" s="114">
        <v>23369.200000000001</v>
      </c>
      <c r="J147" s="114">
        <v>37062.6</v>
      </c>
      <c r="K147" s="114">
        <v>62211.1</v>
      </c>
      <c r="L147" s="114">
        <v>70757.399999999994</v>
      </c>
      <c r="M147" s="114">
        <v>130241</v>
      </c>
      <c r="N147" s="114">
        <v>144023</v>
      </c>
      <c r="O147" s="114">
        <v>202713</v>
      </c>
      <c r="P147" s="114">
        <v>204160</v>
      </c>
      <c r="Q147" s="119">
        <v>212255</v>
      </c>
    </row>
    <row r="148" spans="3:17" x14ac:dyDescent="0.25">
      <c r="C148" s="118">
        <v>2009</v>
      </c>
      <c r="D148" s="114">
        <v>654.38199999999995</v>
      </c>
      <c r="E148" s="114">
        <v>1015.46</v>
      </c>
      <c r="F148" s="114">
        <v>9473.18</v>
      </c>
      <c r="G148" s="114">
        <v>13691.5</v>
      </c>
      <c r="H148" s="114">
        <v>15397.4</v>
      </c>
      <c r="I148" s="114">
        <v>20011.099999999999</v>
      </c>
      <c r="J148" s="114">
        <v>30346.5</v>
      </c>
      <c r="K148" s="114">
        <v>61797.9</v>
      </c>
      <c r="L148" s="114">
        <v>66620</v>
      </c>
      <c r="M148" s="114">
        <v>129832</v>
      </c>
      <c r="N148" s="114">
        <v>144651</v>
      </c>
      <c r="O148" s="114">
        <v>205116</v>
      </c>
      <c r="P148" s="114">
        <v>206116</v>
      </c>
      <c r="Q148" s="119">
        <v>211796</v>
      </c>
    </row>
    <row r="149" spans="3:17" x14ac:dyDescent="0.25">
      <c r="C149" s="118">
        <v>2010</v>
      </c>
      <c r="D149" s="114">
        <v>1873.79</v>
      </c>
      <c r="E149" s="114">
        <v>2900.73</v>
      </c>
      <c r="F149" s="114">
        <v>26100.9</v>
      </c>
      <c r="G149" s="114">
        <v>37750.199999999997</v>
      </c>
      <c r="H149" s="114">
        <v>43916.4</v>
      </c>
      <c r="I149" s="114">
        <v>59897.7</v>
      </c>
      <c r="J149" s="114">
        <v>97672.1</v>
      </c>
      <c r="K149" s="114">
        <v>173709</v>
      </c>
      <c r="L149" s="114">
        <v>196148</v>
      </c>
      <c r="M149" s="114">
        <v>372050</v>
      </c>
      <c r="N149" s="114">
        <v>403418</v>
      </c>
      <c r="O149" s="114">
        <v>611235</v>
      </c>
      <c r="P149" s="114">
        <v>615430</v>
      </c>
      <c r="Q149" s="119">
        <v>637983</v>
      </c>
    </row>
    <row r="150" spans="3:17" x14ac:dyDescent="0.25">
      <c r="C150" s="118">
        <v>2011</v>
      </c>
      <c r="D150" s="114">
        <v>1523.62</v>
      </c>
      <c r="E150" s="114">
        <v>2508.9899999999998</v>
      </c>
      <c r="F150" s="114">
        <v>24164</v>
      </c>
      <c r="G150" s="114">
        <v>33544.400000000001</v>
      </c>
      <c r="H150" s="114">
        <v>38564.9</v>
      </c>
      <c r="I150" s="114">
        <v>51030.9</v>
      </c>
      <c r="J150" s="114">
        <v>84334.399999999994</v>
      </c>
      <c r="K150" s="114">
        <v>132598</v>
      </c>
      <c r="L150" s="114">
        <v>147091</v>
      </c>
      <c r="M150" s="114">
        <v>264508</v>
      </c>
      <c r="N150" s="114">
        <v>296054</v>
      </c>
      <c r="O150" s="114">
        <v>412443</v>
      </c>
      <c r="P150" s="114">
        <v>414411</v>
      </c>
      <c r="Q150" s="119">
        <v>425447</v>
      </c>
    </row>
    <row r="151" spans="3:17" ht="15.75" thickBot="1" x14ac:dyDescent="0.3">
      <c r="C151" s="120">
        <v>2012</v>
      </c>
      <c r="D151" s="121">
        <v>752.41300000000001</v>
      </c>
      <c r="E151" s="121">
        <v>1253.98</v>
      </c>
      <c r="F151" s="121">
        <v>12332.1</v>
      </c>
      <c r="G151" s="121">
        <v>16947.400000000001</v>
      </c>
      <c r="H151" s="121">
        <v>19881.8</v>
      </c>
      <c r="I151" s="121">
        <v>28004.799999999999</v>
      </c>
      <c r="J151" s="121">
        <v>44097.3</v>
      </c>
      <c r="K151" s="121">
        <v>72287.8</v>
      </c>
      <c r="L151" s="121">
        <v>82781.899999999994</v>
      </c>
      <c r="M151" s="121">
        <v>142292</v>
      </c>
      <c r="N151" s="121">
        <v>151741</v>
      </c>
      <c r="O151" s="121">
        <v>203835</v>
      </c>
      <c r="P151" s="121">
        <v>204876</v>
      </c>
      <c r="Q151" s="122">
        <v>210826</v>
      </c>
    </row>
    <row r="154" spans="3:17" x14ac:dyDescent="0.25">
      <c r="C154" s="22" t="s">
        <v>379</v>
      </c>
    </row>
    <row r="155" spans="3:17" ht="15.75" thickBot="1" x14ac:dyDescent="0.3"/>
    <row r="156" spans="3:17" ht="15.75" thickBot="1" x14ac:dyDescent="0.3">
      <c r="C156" s="259" t="s">
        <v>381</v>
      </c>
      <c r="D156" s="260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1"/>
    </row>
    <row r="157" spans="3:17" ht="30.75" thickBot="1" x14ac:dyDescent="0.3">
      <c r="C157" s="127" t="s">
        <v>382</v>
      </c>
      <c r="D157" s="102" t="s">
        <v>354</v>
      </c>
      <c r="E157" s="103" t="s">
        <v>355</v>
      </c>
      <c r="F157" s="103" t="s">
        <v>356</v>
      </c>
      <c r="G157" s="103" t="s">
        <v>357</v>
      </c>
      <c r="H157" s="103" t="s">
        <v>358</v>
      </c>
      <c r="I157" s="103" t="s">
        <v>359</v>
      </c>
      <c r="J157" s="103" t="s">
        <v>360</v>
      </c>
      <c r="K157" s="103" t="s">
        <v>361</v>
      </c>
      <c r="L157" s="103" t="s">
        <v>362</v>
      </c>
      <c r="M157" s="103" t="s">
        <v>363</v>
      </c>
      <c r="N157" s="103" t="s">
        <v>364</v>
      </c>
      <c r="O157" s="103" t="s">
        <v>365</v>
      </c>
      <c r="P157" s="103" t="s">
        <v>366</v>
      </c>
      <c r="Q157" s="104" t="s">
        <v>367</v>
      </c>
    </row>
    <row r="158" spans="3:17" ht="15.75" thickBot="1" x14ac:dyDescent="0.3">
      <c r="C158" s="123" t="s">
        <v>380</v>
      </c>
      <c r="D158" s="262" t="s">
        <v>58</v>
      </c>
      <c r="E158" s="263"/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4"/>
    </row>
    <row r="159" spans="3:17" x14ac:dyDescent="0.25">
      <c r="C159" s="124">
        <v>1996</v>
      </c>
      <c r="D159" s="98">
        <v>87.019999999999982</v>
      </c>
      <c r="E159" s="98">
        <v>87.119999999999891</v>
      </c>
      <c r="F159" s="98">
        <v>87.200000000000728</v>
      </c>
      <c r="G159" s="98">
        <v>87.599999999998545</v>
      </c>
      <c r="H159" s="98">
        <v>87.599999999998545</v>
      </c>
      <c r="I159" s="98">
        <v>87.69999999999709</v>
      </c>
      <c r="J159" s="98">
        <v>87.69999999999709</v>
      </c>
      <c r="K159" s="98">
        <v>88</v>
      </c>
      <c r="L159" s="98">
        <v>87</v>
      </c>
      <c r="M159" s="98">
        <v>87</v>
      </c>
      <c r="N159" s="98">
        <v>88</v>
      </c>
      <c r="O159" s="98">
        <v>87</v>
      </c>
      <c r="P159" s="98">
        <v>88</v>
      </c>
      <c r="Q159" s="99">
        <v>88</v>
      </c>
    </row>
    <row r="160" spans="3:17" x14ac:dyDescent="0.25">
      <c r="C160" s="125">
        <v>1997</v>
      </c>
      <c r="D160" s="98">
        <v>239.31999999999994</v>
      </c>
      <c r="E160" s="98">
        <v>239.24</v>
      </c>
      <c r="F160" s="98">
        <v>239.20000000000073</v>
      </c>
      <c r="G160" s="98">
        <v>238.89999999999782</v>
      </c>
      <c r="H160" s="98">
        <v>238.89999999999782</v>
      </c>
      <c r="I160" s="98">
        <v>238.80000000000291</v>
      </c>
      <c r="J160" s="98">
        <v>238.69999999999709</v>
      </c>
      <c r="K160" s="98">
        <v>238</v>
      </c>
      <c r="L160" s="98">
        <v>239</v>
      </c>
      <c r="M160" s="98">
        <v>239</v>
      </c>
      <c r="N160" s="98">
        <v>238</v>
      </c>
      <c r="O160" s="98">
        <v>239</v>
      </c>
      <c r="P160" s="98">
        <v>238</v>
      </c>
      <c r="Q160" s="99">
        <v>239</v>
      </c>
    </row>
    <row r="161" spans="3:17" x14ac:dyDescent="0.25">
      <c r="C161" s="125">
        <v>1998</v>
      </c>
      <c r="D161" s="98">
        <v>161.50800000000004</v>
      </c>
      <c r="E161" s="98">
        <v>161.45000000000005</v>
      </c>
      <c r="F161" s="98">
        <v>161.40000000000146</v>
      </c>
      <c r="G161" s="98">
        <v>161.10000000000036</v>
      </c>
      <c r="H161" s="98">
        <v>161</v>
      </c>
      <c r="I161" s="98">
        <v>160.89999999999782</v>
      </c>
      <c r="J161" s="98">
        <v>160.79999999999927</v>
      </c>
      <c r="K161" s="98">
        <v>160.70000000000437</v>
      </c>
      <c r="L161" s="98">
        <v>160.59999999999854</v>
      </c>
      <c r="M161" s="98">
        <v>161</v>
      </c>
      <c r="N161" s="98">
        <v>161</v>
      </c>
      <c r="O161" s="98">
        <v>161</v>
      </c>
      <c r="P161" s="98">
        <v>160</v>
      </c>
      <c r="Q161" s="99">
        <v>161</v>
      </c>
    </row>
    <row r="162" spans="3:17" x14ac:dyDescent="0.25">
      <c r="C162" s="125">
        <v>1999</v>
      </c>
      <c r="D162" s="98">
        <v>144.08000000000004</v>
      </c>
      <c r="E162" s="98">
        <v>143.94000000000005</v>
      </c>
      <c r="F162" s="98">
        <v>143.88000000000102</v>
      </c>
      <c r="G162" s="98">
        <v>143.59999999999854</v>
      </c>
      <c r="H162" s="98">
        <v>143.60000000000218</v>
      </c>
      <c r="I162" s="98">
        <v>143.5</v>
      </c>
      <c r="J162" s="98">
        <v>143.40000000000146</v>
      </c>
      <c r="K162" s="98">
        <v>143.39999999999418</v>
      </c>
      <c r="L162" s="98">
        <v>143.40000000000873</v>
      </c>
      <c r="M162" s="98">
        <v>144</v>
      </c>
      <c r="N162" s="98">
        <v>144</v>
      </c>
      <c r="O162" s="98">
        <v>143</v>
      </c>
      <c r="P162" s="98">
        <v>143</v>
      </c>
      <c r="Q162" s="99">
        <v>144</v>
      </c>
    </row>
    <row r="163" spans="3:17" x14ac:dyDescent="0.25">
      <c r="C163" s="125">
        <v>2000</v>
      </c>
      <c r="D163" s="98">
        <v>109.32300000000004</v>
      </c>
      <c r="E163" s="98">
        <v>109.22400000000005</v>
      </c>
      <c r="F163" s="98">
        <v>109.17000000000007</v>
      </c>
      <c r="G163" s="98">
        <v>108.8700000000008</v>
      </c>
      <c r="H163" s="98">
        <v>108.78999999999996</v>
      </c>
      <c r="I163" s="98">
        <v>108.70000000000073</v>
      </c>
      <c r="J163" s="98">
        <v>108.60000000000218</v>
      </c>
      <c r="K163" s="98">
        <v>108.59999999999854</v>
      </c>
      <c r="L163" s="98">
        <v>108.59999999999854</v>
      </c>
      <c r="M163" s="98">
        <v>108.5</v>
      </c>
      <c r="N163" s="98">
        <v>108.5</v>
      </c>
      <c r="O163" s="98">
        <v>108</v>
      </c>
      <c r="P163" s="98">
        <v>109</v>
      </c>
      <c r="Q163" s="99">
        <v>109</v>
      </c>
    </row>
    <row r="164" spans="3:17" x14ac:dyDescent="0.25">
      <c r="C164" s="125">
        <v>2001</v>
      </c>
      <c r="D164" s="98">
        <v>145.57999999999993</v>
      </c>
      <c r="E164" s="98">
        <v>145.48999999999978</v>
      </c>
      <c r="F164" s="98">
        <v>145.40000000000146</v>
      </c>
      <c r="G164" s="98">
        <v>145.19999999999709</v>
      </c>
      <c r="H164" s="98">
        <v>145.09999999999854</v>
      </c>
      <c r="I164" s="98">
        <v>145.09999999999854</v>
      </c>
      <c r="J164" s="98">
        <v>145</v>
      </c>
      <c r="K164" s="98">
        <v>145</v>
      </c>
      <c r="L164" s="98">
        <v>145</v>
      </c>
      <c r="M164" s="98">
        <v>145</v>
      </c>
      <c r="N164" s="98">
        <v>145</v>
      </c>
      <c r="O164" s="98">
        <v>145</v>
      </c>
      <c r="P164" s="98">
        <v>145</v>
      </c>
      <c r="Q164" s="99">
        <v>145</v>
      </c>
    </row>
    <row r="165" spans="3:17" x14ac:dyDescent="0.25">
      <c r="C165" s="125">
        <v>2002</v>
      </c>
      <c r="D165" s="128">
        <v>-71.683999999999969</v>
      </c>
      <c r="E165" s="128">
        <v>-71.775999999999954</v>
      </c>
      <c r="F165" s="128">
        <v>-71.779999999999745</v>
      </c>
      <c r="G165" s="128">
        <v>-71.799999999999272</v>
      </c>
      <c r="H165" s="128">
        <v>-71.799999999999272</v>
      </c>
      <c r="I165" s="128">
        <v>-71.799999999999272</v>
      </c>
      <c r="J165" s="128">
        <v>-71.69999999999709</v>
      </c>
      <c r="K165" s="128">
        <v>-71.700000000004366</v>
      </c>
      <c r="L165" s="128">
        <v>-71.69999999999709</v>
      </c>
      <c r="M165" s="128">
        <v>-71.80000000000291</v>
      </c>
      <c r="N165" s="128">
        <v>-71.799999999988358</v>
      </c>
      <c r="O165" s="128">
        <v>-71</v>
      </c>
      <c r="P165" s="128">
        <v>-72</v>
      </c>
      <c r="Q165" s="129">
        <v>-72</v>
      </c>
    </row>
    <row r="166" spans="3:17" x14ac:dyDescent="0.25">
      <c r="C166" s="125">
        <v>2003</v>
      </c>
      <c r="D166" s="98">
        <v>75.759999999999991</v>
      </c>
      <c r="E166" s="98">
        <v>75.604000000000042</v>
      </c>
      <c r="F166" s="98">
        <v>75.539999999999964</v>
      </c>
      <c r="G166" s="98">
        <v>75.260000000000218</v>
      </c>
      <c r="H166" s="98">
        <v>75.190000000000509</v>
      </c>
      <c r="I166" s="98">
        <v>75</v>
      </c>
      <c r="J166" s="98">
        <v>74.900000000001455</v>
      </c>
      <c r="K166" s="98">
        <v>74.900000000001455</v>
      </c>
      <c r="L166" s="98">
        <v>75</v>
      </c>
      <c r="M166" s="98">
        <v>74.80000000000291</v>
      </c>
      <c r="N166" s="98">
        <v>74.899999999994179</v>
      </c>
      <c r="O166" s="98">
        <v>75</v>
      </c>
      <c r="P166" s="98">
        <v>74</v>
      </c>
      <c r="Q166" s="99">
        <v>75</v>
      </c>
    </row>
    <row r="167" spans="3:17" x14ac:dyDescent="0.25">
      <c r="C167" s="125">
        <v>2004</v>
      </c>
      <c r="D167" s="98">
        <v>120.18400000000003</v>
      </c>
      <c r="E167" s="98">
        <v>120.07799999999997</v>
      </c>
      <c r="F167" s="98">
        <v>120.03999999999996</v>
      </c>
      <c r="G167" s="98">
        <v>119.88999999999942</v>
      </c>
      <c r="H167" s="98">
        <v>119.80000000000109</v>
      </c>
      <c r="I167" s="98">
        <v>119.80000000000291</v>
      </c>
      <c r="J167" s="98">
        <v>119.80000000000291</v>
      </c>
      <c r="K167" s="98">
        <v>119.70000000001164</v>
      </c>
      <c r="L167" s="98">
        <v>119.69999999999709</v>
      </c>
      <c r="M167" s="98">
        <v>120</v>
      </c>
      <c r="N167" s="98">
        <v>120</v>
      </c>
      <c r="O167" s="98">
        <v>119</v>
      </c>
      <c r="P167" s="98">
        <v>120</v>
      </c>
      <c r="Q167" s="99">
        <v>120</v>
      </c>
    </row>
    <row r="168" spans="3:17" x14ac:dyDescent="0.25">
      <c r="C168" s="125">
        <v>2005</v>
      </c>
      <c r="D168" s="98">
        <v>123.61599999999999</v>
      </c>
      <c r="E168" s="98">
        <v>123.57000000000016</v>
      </c>
      <c r="F168" s="98">
        <v>123.39999999999964</v>
      </c>
      <c r="G168" s="98">
        <v>123.30000000000291</v>
      </c>
      <c r="H168" s="98">
        <v>123.29999999999927</v>
      </c>
      <c r="I168" s="98">
        <v>123.20000000000073</v>
      </c>
      <c r="J168" s="98">
        <v>123.20000000000437</v>
      </c>
      <c r="K168" s="98">
        <v>123.19999999999709</v>
      </c>
      <c r="L168" s="98">
        <v>123.20000000001164</v>
      </c>
      <c r="M168" s="98">
        <v>123</v>
      </c>
      <c r="N168" s="98">
        <v>123</v>
      </c>
      <c r="O168" s="98">
        <v>123</v>
      </c>
      <c r="P168" s="98">
        <v>123</v>
      </c>
      <c r="Q168" s="99">
        <v>123</v>
      </c>
    </row>
    <row r="169" spans="3:17" x14ac:dyDescent="0.25">
      <c r="C169" s="125">
        <v>2006</v>
      </c>
      <c r="D169" s="98">
        <v>160.25200000000007</v>
      </c>
      <c r="E169" s="98">
        <v>160.1400000000001</v>
      </c>
      <c r="F169" s="98">
        <v>160.10000000000036</v>
      </c>
      <c r="G169" s="98">
        <v>159.79999999999927</v>
      </c>
      <c r="H169" s="98">
        <v>159.79999999999927</v>
      </c>
      <c r="I169" s="98">
        <v>159.70000000000073</v>
      </c>
      <c r="J169" s="98">
        <v>159.59999999999854</v>
      </c>
      <c r="K169" s="98">
        <v>159.60000000000582</v>
      </c>
      <c r="L169" s="98">
        <v>159.5</v>
      </c>
      <c r="M169" s="98">
        <v>159</v>
      </c>
      <c r="N169" s="98">
        <v>160</v>
      </c>
      <c r="O169" s="98">
        <v>159</v>
      </c>
      <c r="P169" s="98">
        <v>160</v>
      </c>
      <c r="Q169" s="99">
        <v>159</v>
      </c>
    </row>
    <row r="170" spans="3:17" x14ac:dyDescent="0.25">
      <c r="C170" s="125">
        <v>2007</v>
      </c>
      <c r="D170" s="98">
        <v>73.259999999999991</v>
      </c>
      <c r="E170" s="98">
        <v>73.099999999999909</v>
      </c>
      <c r="F170" s="98">
        <v>73</v>
      </c>
      <c r="G170" s="98">
        <v>72.80000000000291</v>
      </c>
      <c r="H170" s="98">
        <v>72.599999999998545</v>
      </c>
      <c r="I170" s="98">
        <v>72.299999999999272</v>
      </c>
      <c r="J170" s="98">
        <v>72.30000000000291</v>
      </c>
      <c r="K170" s="98">
        <v>72.100000000005821</v>
      </c>
      <c r="L170" s="98">
        <v>72.099999999991269</v>
      </c>
      <c r="M170" s="98">
        <v>72</v>
      </c>
      <c r="N170" s="98">
        <v>72</v>
      </c>
      <c r="O170" s="98">
        <v>72</v>
      </c>
      <c r="P170" s="98">
        <v>72</v>
      </c>
      <c r="Q170" s="99">
        <v>72</v>
      </c>
    </row>
    <row r="171" spans="3:17" x14ac:dyDescent="0.25">
      <c r="C171" s="125">
        <v>2008</v>
      </c>
      <c r="D171" s="98">
        <v>192.77800000000002</v>
      </c>
      <c r="E171" s="98">
        <v>192.63000000000011</v>
      </c>
      <c r="F171" s="98">
        <v>192.60000000000036</v>
      </c>
      <c r="G171" s="98">
        <v>192.39999999999964</v>
      </c>
      <c r="H171" s="98">
        <v>192.29999999999927</v>
      </c>
      <c r="I171" s="98">
        <v>192.09999999999854</v>
      </c>
      <c r="J171" s="98">
        <v>192</v>
      </c>
      <c r="K171" s="98">
        <v>192</v>
      </c>
      <c r="L171" s="98">
        <v>191.90000000000873</v>
      </c>
      <c r="M171" s="98">
        <v>192</v>
      </c>
      <c r="N171" s="98">
        <v>192</v>
      </c>
      <c r="O171" s="98">
        <v>192</v>
      </c>
      <c r="P171" s="98">
        <v>191</v>
      </c>
      <c r="Q171" s="99">
        <v>192</v>
      </c>
    </row>
    <row r="172" spans="3:17" x14ac:dyDescent="0.25">
      <c r="C172" s="125">
        <v>2009</v>
      </c>
      <c r="D172" s="98">
        <v>40.897000000000048</v>
      </c>
      <c r="E172" s="98">
        <v>40.759999999999991</v>
      </c>
      <c r="F172" s="98">
        <v>40.699999999998909</v>
      </c>
      <c r="G172" s="98">
        <v>40.399999999999636</v>
      </c>
      <c r="H172" s="98">
        <v>40.300000000001091</v>
      </c>
      <c r="I172" s="98">
        <v>40.200000000000728</v>
      </c>
      <c r="J172" s="98">
        <v>40.099999999998545</v>
      </c>
      <c r="K172" s="98">
        <v>40</v>
      </c>
      <c r="L172" s="98">
        <v>40</v>
      </c>
      <c r="M172" s="98">
        <v>40</v>
      </c>
      <c r="N172" s="98">
        <v>40</v>
      </c>
      <c r="O172" s="98">
        <v>40</v>
      </c>
      <c r="P172" s="98">
        <v>40</v>
      </c>
      <c r="Q172" s="99">
        <v>40</v>
      </c>
    </row>
    <row r="173" spans="3:17" x14ac:dyDescent="0.25">
      <c r="C173" s="125">
        <v>2010</v>
      </c>
      <c r="D173" s="98">
        <v>113.22000000000003</v>
      </c>
      <c r="E173" s="98">
        <v>112.69999999999982</v>
      </c>
      <c r="F173" s="98">
        <v>112.5</v>
      </c>
      <c r="G173" s="98">
        <v>109</v>
      </c>
      <c r="H173" s="98">
        <v>108.69999999999709</v>
      </c>
      <c r="I173" s="98">
        <v>108.5</v>
      </c>
      <c r="J173" s="98">
        <v>108.09999999999127</v>
      </c>
      <c r="K173" s="98">
        <v>108</v>
      </c>
      <c r="L173" s="98">
        <v>108</v>
      </c>
      <c r="M173" s="98">
        <v>108</v>
      </c>
      <c r="N173" s="98">
        <v>108</v>
      </c>
      <c r="O173" s="98">
        <v>108</v>
      </c>
      <c r="P173" s="98">
        <v>108</v>
      </c>
      <c r="Q173" s="99">
        <v>108</v>
      </c>
    </row>
    <row r="174" spans="3:17" x14ac:dyDescent="0.25">
      <c r="C174" s="125">
        <v>2011</v>
      </c>
      <c r="D174" s="98">
        <v>380.32000000000016</v>
      </c>
      <c r="E174" s="98">
        <v>380.24000000000024</v>
      </c>
      <c r="F174" s="98">
        <v>380.09999999999854</v>
      </c>
      <c r="G174" s="98">
        <v>380</v>
      </c>
      <c r="H174" s="98">
        <v>379.90000000000146</v>
      </c>
      <c r="I174" s="98">
        <v>379.69999999999709</v>
      </c>
      <c r="J174" s="98">
        <v>379.5</v>
      </c>
      <c r="K174" s="98">
        <v>380</v>
      </c>
      <c r="L174" s="98">
        <v>380</v>
      </c>
      <c r="M174" s="98">
        <v>379</v>
      </c>
      <c r="N174" s="98">
        <v>379</v>
      </c>
      <c r="O174" s="98">
        <v>379</v>
      </c>
      <c r="P174" s="98">
        <v>379</v>
      </c>
      <c r="Q174" s="99">
        <v>379</v>
      </c>
    </row>
    <row r="175" spans="3:17" ht="15.75" thickBot="1" x14ac:dyDescent="0.3">
      <c r="C175" s="126">
        <v>2012</v>
      </c>
      <c r="D175" s="100">
        <v>200.32299999999998</v>
      </c>
      <c r="E175" s="100">
        <v>200.20000000000005</v>
      </c>
      <c r="F175" s="100">
        <v>200.10000000000036</v>
      </c>
      <c r="G175" s="100">
        <v>199.89999999999782</v>
      </c>
      <c r="H175" s="100">
        <v>199.90000000000146</v>
      </c>
      <c r="I175" s="100">
        <v>199.79999999999927</v>
      </c>
      <c r="J175" s="100">
        <v>199.79999999999563</v>
      </c>
      <c r="K175" s="100">
        <v>199.80000000000291</v>
      </c>
      <c r="L175" s="100">
        <v>199.80000000000291</v>
      </c>
      <c r="M175" s="100">
        <v>200</v>
      </c>
      <c r="N175" s="100">
        <v>200</v>
      </c>
      <c r="O175" s="100">
        <v>200</v>
      </c>
      <c r="P175" s="100">
        <v>200</v>
      </c>
      <c r="Q175" s="101">
        <v>200</v>
      </c>
    </row>
    <row r="177" spans="3:3" x14ac:dyDescent="0.25">
      <c r="C177" s="21" t="s">
        <v>384</v>
      </c>
    </row>
    <row r="179" spans="3:3" x14ac:dyDescent="0.25">
      <c r="C179" s="21" t="s">
        <v>385</v>
      </c>
    </row>
    <row r="180" spans="3:3" x14ac:dyDescent="0.25">
      <c r="C180" s="21" t="s">
        <v>403</v>
      </c>
    </row>
    <row r="181" spans="3:3" x14ac:dyDescent="0.25">
      <c r="C181" s="21" t="s">
        <v>404</v>
      </c>
    </row>
    <row r="182" spans="3:3" x14ac:dyDescent="0.25">
      <c r="C182" s="21" t="s">
        <v>386</v>
      </c>
    </row>
    <row r="183" spans="3:3" x14ac:dyDescent="0.25">
      <c r="C183" s="21" t="s">
        <v>383</v>
      </c>
    </row>
    <row r="184" spans="3:3" x14ac:dyDescent="0.25">
      <c r="C184" s="21" t="s">
        <v>400</v>
      </c>
    </row>
  </sheetData>
  <sheetProtection password="C120" sheet="1"/>
  <mergeCells count="2">
    <mergeCell ref="C156:Q156"/>
    <mergeCell ref="D158:Q15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READ ME</vt:lpstr>
      <vt:lpstr>Watershed Storage Goal</vt:lpstr>
      <vt:lpstr>Selecting Precipitation Amount</vt:lpstr>
      <vt:lpstr>TR-55 Runoff Estimation</vt:lpstr>
      <vt:lpstr>Surface Impoundment Inputs</vt:lpstr>
      <vt:lpstr>Site Water Storage Benefit</vt:lpstr>
      <vt:lpstr>Watershed Water Storage Benefit</vt:lpstr>
      <vt:lpstr>BMP</vt:lpstr>
      <vt:lpstr>BMPs</vt:lpstr>
      <vt:lpstr>Mgmt</vt:lpstr>
      <vt:lpstr>'Site Water Storage Benefit'!Print_Area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Klang</dc:creator>
  <cp:lastModifiedBy>Nelson, Jessica Anne  (1)</cp:lastModifiedBy>
  <cp:lastPrinted>2016-08-03T15:12:54Z</cp:lastPrinted>
  <dcterms:created xsi:type="dcterms:W3CDTF">2014-09-18T15:22:32Z</dcterms:created>
  <dcterms:modified xsi:type="dcterms:W3CDTF">2018-02-13T18:49:27Z</dcterms:modified>
</cp:coreProperties>
</file>